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ZP" sheetId="2" r:id="rId1"/>
    <sheet name="EE" sheetId="3" r:id="rId2"/>
    <sheet name="VODA" sheetId="4" r:id="rId3"/>
  </sheets>
  <calcPr calcId="162913"/>
</workbook>
</file>

<file path=xl/calcChain.xml><?xml version="1.0" encoding="utf-8"?>
<calcChain xmlns="http://schemas.openxmlformats.org/spreadsheetml/2006/main">
  <c r="C56" i="4" l="1"/>
  <c r="C55" i="4"/>
  <c r="I55" i="4" s="1"/>
  <c r="C54" i="4"/>
  <c r="I54" i="4" s="1"/>
  <c r="C53" i="4"/>
  <c r="I53" i="4" s="1"/>
  <c r="C52" i="4"/>
  <c r="I52" i="4" s="1"/>
  <c r="C51" i="4"/>
  <c r="H51" i="4" s="1"/>
  <c r="C50" i="4"/>
  <c r="H50" i="4" s="1"/>
  <c r="C49" i="4"/>
  <c r="I49" i="4" s="1"/>
  <c r="C48" i="4"/>
  <c r="I48" i="4"/>
  <c r="C47" i="4"/>
  <c r="I47" i="4" s="1"/>
  <c r="C46" i="4"/>
  <c r="I46" i="4" s="1"/>
  <c r="C45" i="4"/>
  <c r="J56" i="4"/>
  <c r="J19" i="4"/>
  <c r="I45" i="4"/>
  <c r="C37" i="4"/>
  <c r="H37" i="4" s="1"/>
  <c r="C36" i="4"/>
  <c r="H36" i="4" s="1"/>
  <c r="C35" i="4"/>
  <c r="I35" i="4" s="1"/>
  <c r="C34" i="4"/>
  <c r="I34" i="4" s="1"/>
  <c r="C33" i="4"/>
  <c r="I33" i="4" s="1"/>
  <c r="C32" i="4"/>
  <c r="C31" i="4"/>
  <c r="I31" i="4" s="1"/>
  <c r="C30" i="4"/>
  <c r="I30" i="4" s="1"/>
  <c r="C29" i="4"/>
  <c r="I29" i="4" s="1"/>
  <c r="C28" i="4"/>
  <c r="H28" i="4" s="1"/>
  <c r="C27" i="4"/>
  <c r="C26" i="4"/>
  <c r="C38" i="4" s="1"/>
  <c r="J38" i="4"/>
  <c r="I36" i="4"/>
  <c r="I32" i="4"/>
  <c r="C18" i="4"/>
  <c r="H18" i="4" s="1"/>
  <c r="C17" i="4"/>
  <c r="I17" i="4" s="1"/>
  <c r="C16" i="4"/>
  <c r="H16" i="4" s="1"/>
  <c r="C15" i="4"/>
  <c r="H15" i="4" s="1"/>
  <c r="C14" i="4"/>
  <c r="I14" i="4" s="1"/>
  <c r="C13" i="4"/>
  <c r="H13" i="4" s="1"/>
  <c r="C12" i="4"/>
  <c r="H12" i="4" s="1"/>
  <c r="C11" i="4"/>
  <c r="H11" i="4" s="1"/>
  <c r="C10" i="4"/>
  <c r="H10" i="4" s="1"/>
  <c r="C9" i="4"/>
  <c r="H9" i="4" s="1"/>
  <c r="C8" i="4"/>
  <c r="I8" i="4" s="1"/>
  <c r="C7" i="4"/>
  <c r="I7" i="4" s="1"/>
  <c r="C6" i="4"/>
  <c r="I6" i="4" s="1"/>
  <c r="F50" i="3"/>
  <c r="D50" i="3"/>
  <c r="C50" i="3"/>
  <c r="G49" i="3"/>
  <c r="H49" i="3" s="1"/>
  <c r="E49" i="3"/>
  <c r="G48" i="3"/>
  <c r="H48" i="3" s="1"/>
  <c r="E48" i="3"/>
  <c r="G47" i="3"/>
  <c r="H47" i="3" s="1"/>
  <c r="E47" i="3"/>
  <c r="G46" i="3"/>
  <c r="H46" i="3" s="1"/>
  <c r="E46" i="3"/>
  <c r="G45" i="3"/>
  <c r="H45" i="3" s="1"/>
  <c r="E45" i="3"/>
  <c r="G44" i="3"/>
  <c r="H44" i="3" s="1"/>
  <c r="E44" i="3"/>
  <c r="G43" i="3"/>
  <c r="H43" i="3" s="1"/>
  <c r="E43" i="3"/>
  <c r="G42" i="3"/>
  <c r="H42" i="3" s="1"/>
  <c r="G41" i="3"/>
  <c r="H41" i="3" s="1"/>
  <c r="E41" i="3"/>
  <c r="G40" i="3"/>
  <c r="H40" i="3" s="1"/>
  <c r="E40" i="3"/>
  <c r="G39" i="3"/>
  <c r="H39" i="3" s="1"/>
  <c r="E39" i="3"/>
  <c r="G38" i="3"/>
  <c r="H38" i="3" s="1"/>
  <c r="E38" i="3"/>
  <c r="D6" i="2"/>
  <c r="D7" i="2"/>
  <c r="D8" i="2"/>
  <c r="D9" i="2"/>
  <c r="D10" i="2"/>
  <c r="D11" i="2"/>
  <c r="D12" i="2"/>
  <c r="D13" i="2"/>
  <c r="D14" i="2"/>
  <c r="D15" i="2"/>
  <c r="D16" i="2"/>
  <c r="D17" i="2"/>
  <c r="D25" i="2"/>
  <c r="D26" i="2"/>
  <c r="D27" i="2"/>
  <c r="D28" i="2"/>
  <c r="D29" i="2"/>
  <c r="D30" i="2"/>
  <c r="D31" i="2"/>
  <c r="D32" i="2"/>
  <c r="D33" i="2"/>
  <c r="D34" i="2"/>
  <c r="D35" i="2"/>
  <c r="D36" i="2"/>
  <c r="D52" i="2"/>
  <c r="D53" i="2"/>
  <c r="D54" i="2"/>
  <c r="D55" i="2"/>
  <c r="D44" i="2"/>
  <c r="D45" i="2"/>
  <c r="D46" i="2"/>
  <c r="D47" i="2"/>
  <c r="D48" i="2"/>
  <c r="D49" i="2"/>
  <c r="D50" i="2"/>
  <c r="D51" i="2"/>
  <c r="I26" i="4" l="1"/>
  <c r="I38" i="4" s="1"/>
  <c r="H26" i="4"/>
  <c r="C19" i="4"/>
  <c r="H54" i="4"/>
  <c r="K54" i="4" s="1"/>
  <c r="L54" i="4" s="1"/>
  <c r="H55" i="4"/>
  <c r="K55" i="4" s="1"/>
  <c r="L55" i="4" s="1"/>
  <c r="I50" i="4"/>
  <c r="K50" i="4" s="1"/>
  <c r="L50" i="4" s="1"/>
  <c r="H47" i="4"/>
  <c r="K47" i="4" s="1"/>
  <c r="L47" i="4" s="1"/>
  <c r="I51" i="4"/>
  <c r="K51" i="4" s="1"/>
  <c r="L51" i="4" s="1"/>
  <c r="H52" i="4"/>
  <c r="K52" i="4" s="1"/>
  <c r="L52" i="4" s="1"/>
  <c r="H49" i="4"/>
  <c r="K49" i="4" s="1"/>
  <c r="L49" i="4" s="1"/>
  <c r="H46" i="4"/>
  <c r="H48" i="4"/>
  <c r="K48" i="4" s="1"/>
  <c r="L48" i="4" s="1"/>
  <c r="H45" i="4"/>
  <c r="H53" i="4"/>
  <c r="K53" i="4" s="1"/>
  <c r="L53" i="4" s="1"/>
  <c r="K37" i="4"/>
  <c r="L37" i="4" s="1"/>
  <c r="I37" i="4"/>
  <c r="H34" i="4"/>
  <c r="K34" i="4" s="1"/>
  <c r="L34" i="4" s="1"/>
  <c r="H33" i="4"/>
  <c r="K33" i="4" s="1"/>
  <c r="L33" i="4" s="1"/>
  <c r="H30" i="4"/>
  <c r="K30" i="4" s="1"/>
  <c r="L30" i="4" s="1"/>
  <c r="H29" i="4"/>
  <c r="K29" i="4" s="1"/>
  <c r="L29" i="4" s="1"/>
  <c r="I28" i="4"/>
  <c r="K28" i="4" s="1"/>
  <c r="L28" i="4" s="1"/>
  <c r="K36" i="4"/>
  <c r="L36" i="4" s="1"/>
  <c r="H27" i="4"/>
  <c r="H35" i="4"/>
  <c r="K35" i="4" s="1"/>
  <c r="L35" i="4" s="1"/>
  <c r="I27" i="4"/>
  <c r="H32" i="4"/>
  <c r="K32" i="4" s="1"/>
  <c r="L32" i="4" s="1"/>
  <c r="H31" i="4"/>
  <c r="K31" i="4" s="1"/>
  <c r="L31" i="4" s="1"/>
  <c r="I13" i="4"/>
  <c r="K13" i="4" s="1"/>
  <c r="L13" i="4" s="1"/>
  <c r="I16" i="4"/>
  <c r="K16" i="4" s="1"/>
  <c r="L16" i="4" s="1"/>
  <c r="H17" i="4"/>
  <c r="K17" i="4" s="1"/>
  <c r="L17" i="4" s="1"/>
  <c r="H6" i="4"/>
  <c r="H14" i="4"/>
  <c r="K14" i="4" s="1"/>
  <c r="L14" i="4" s="1"/>
  <c r="I18" i="4"/>
  <c r="K18" i="4" s="1"/>
  <c r="L18" i="4" s="1"/>
  <c r="I15" i="4"/>
  <c r="K15" i="4" s="1"/>
  <c r="L15" i="4" s="1"/>
  <c r="I12" i="4"/>
  <c r="K12" i="4" s="1"/>
  <c r="L12" i="4" s="1"/>
  <c r="I11" i="4"/>
  <c r="K11" i="4" s="1"/>
  <c r="L11" i="4" s="1"/>
  <c r="I10" i="4"/>
  <c r="K10" i="4" s="1"/>
  <c r="L10" i="4" s="1"/>
  <c r="I9" i="4"/>
  <c r="K9" i="4" s="1"/>
  <c r="L9" i="4" s="1"/>
  <c r="H8" i="4"/>
  <c r="K8" i="4" s="1"/>
  <c r="L8" i="4" s="1"/>
  <c r="H7" i="4"/>
  <c r="K7" i="4" s="1"/>
  <c r="L7" i="4" s="1"/>
  <c r="E50" i="3"/>
  <c r="G50" i="3"/>
  <c r="H50" i="3" s="1"/>
  <c r="F33" i="3"/>
  <c r="D33" i="3"/>
  <c r="C33" i="3"/>
  <c r="G32" i="3"/>
  <c r="H32" i="3" s="1"/>
  <c r="E32" i="3"/>
  <c r="G31" i="3"/>
  <c r="H31" i="3" s="1"/>
  <c r="E31" i="3"/>
  <c r="G30" i="3"/>
  <c r="H30" i="3" s="1"/>
  <c r="E30" i="3"/>
  <c r="G29" i="3"/>
  <c r="H29" i="3" s="1"/>
  <c r="E29" i="3"/>
  <c r="G28" i="3"/>
  <c r="H28" i="3" s="1"/>
  <c r="E28" i="3"/>
  <c r="G27" i="3"/>
  <c r="H27" i="3" s="1"/>
  <c r="E27" i="3"/>
  <c r="G26" i="3"/>
  <c r="H26" i="3" s="1"/>
  <c r="E26" i="3"/>
  <c r="G25" i="3"/>
  <c r="H25" i="3" s="1"/>
  <c r="E25" i="3"/>
  <c r="G24" i="3"/>
  <c r="H24" i="3" s="1"/>
  <c r="E24" i="3"/>
  <c r="G23" i="3"/>
  <c r="H23" i="3" s="1"/>
  <c r="E23" i="3"/>
  <c r="G22" i="3"/>
  <c r="H22" i="3" s="1"/>
  <c r="E22" i="3"/>
  <c r="G21" i="3"/>
  <c r="H21" i="3" s="1"/>
  <c r="E21" i="3"/>
  <c r="I56" i="4" l="1"/>
  <c r="K6" i="4"/>
  <c r="H19" i="4"/>
  <c r="K26" i="4"/>
  <c r="I19" i="4"/>
  <c r="H38" i="4"/>
  <c r="K45" i="4"/>
  <c r="H56" i="4"/>
  <c r="K46" i="4"/>
  <c r="K27" i="4"/>
  <c r="E33" i="3"/>
  <c r="G33" i="3"/>
  <c r="H33" i="3" s="1"/>
  <c r="L26" i="4" l="1"/>
  <c r="L38" i="4" s="1"/>
  <c r="K38" i="4"/>
  <c r="L6" i="4"/>
  <c r="L19" i="4" s="1"/>
  <c r="K19" i="4"/>
  <c r="L45" i="4"/>
  <c r="K56" i="4"/>
  <c r="L46" i="4"/>
  <c r="L27" i="4"/>
  <c r="F16" i="3"/>
  <c r="D16" i="3"/>
  <c r="C16" i="3"/>
  <c r="G15" i="3"/>
  <c r="H15" i="3" s="1"/>
  <c r="E15" i="3"/>
  <c r="G14" i="3"/>
  <c r="H14" i="3" s="1"/>
  <c r="E14" i="3"/>
  <c r="G13" i="3"/>
  <c r="H13" i="3" s="1"/>
  <c r="E13" i="3"/>
  <c r="G12" i="3"/>
  <c r="H12" i="3" s="1"/>
  <c r="E12" i="3"/>
  <c r="G11" i="3"/>
  <c r="H11" i="3" s="1"/>
  <c r="E11" i="3"/>
  <c r="G10" i="3"/>
  <c r="H10" i="3" s="1"/>
  <c r="E10" i="3"/>
  <c r="G9" i="3"/>
  <c r="H9" i="3" s="1"/>
  <c r="E9" i="3"/>
  <c r="G8" i="3"/>
  <c r="H8" i="3" s="1"/>
  <c r="E8" i="3"/>
  <c r="G7" i="3"/>
  <c r="H7" i="3" s="1"/>
  <c r="E7" i="3"/>
  <c r="G6" i="3"/>
  <c r="H6" i="3" s="1"/>
  <c r="E6" i="3"/>
  <c r="G5" i="3"/>
  <c r="H5" i="3" s="1"/>
  <c r="E5" i="3"/>
  <c r="G4" i="3"/>
  <c r="H4" i="3" s="1"/>
  <c r="E4" i="3"/>
  <c r="L56" i="4" l="1"/>
  <c r="E16" i="3"/>
  <c r="G16" i="3"/>
  <c r="H16" i="3" s="1"/>
  <c r="C56" i="2" l="1"/>
  <c r="B56" i="2"/>
  <c r="C37" i="2"/>
  <c r="B37" i="2"/>
  <c r="B18" i="2"/>
  <c r="D56" i="2" l="1"/>
  <c r="E56" i="2" s="1"/>
  <c r="D37" i="2"/>
  <c r="E37" i="2" s="1"/>
  <c r="C18" i="2"/>
  <c r="D18" i="2"/>
  <c r="E18" i="2" s="1"/>
</calcChain>
</file>

<file path=xl/sharedStrings.xml><?xml version="1.0" encoding="utf-8"?>
<sst xmlns="http://schemas.openxmlformats.org/spreadsheetml/2006/main" count="207" uniqueCount="88">
  <si>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</si>
  <si>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</si>
  <si>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</si>
  <si>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</si>
  <si>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</si>
  <si>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</si>
  <si>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</si>
  <si>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</si>
  <si>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</si>
  <si>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</si>
  <si>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</si>
  <si>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</si>
  <si>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Období</t>
  </si>
  <si>
    <t>Spotřeba (MWh)</t>
  </si>
  <si>
    <t>Celkem bez DPH (Kč)</t>
  </si>
  <si>
    <t>Celkem s DPH (Kč)</t>
  </si>
  <si>
    <t>CELKEM 2018</t>
  </si>
  <si>
    <t>CELKEM 2019</t>
  </si>
  <si>
    <r>
      <t>Spotřeba v m</t>
    </r>
    <r>
      <rPr>
        <b/>
        <vertAlign val="superscript"/>
        <sz val="10"/>
        <rFont val="Arial CE"/>
        <family val="2"/>
        <charset val="238"/>
      </rPr>
      <t>3</t>
    </r>
  </si>
  <si>
    <r>
      <t>Srážky v m</t>
    </r>
    <r>
      <rPr>
        <b/>
        <vertAlign val="superscript"/>
        <sz val="10"/>
        <rFont val="Arial CE"/>
        <family val="2"/>
        <charset val="238"/>
      </rPr>
      <t>3</t>
    </r>
  </si>
  <si>
    <r>
      <t>Cena vodné Kč/m</t>
    </r>
    <r>
      <rPr>
        <b/>
        <vertAlign val="superscript"/>
        <sz val="10"/>
        <rFont val="Arial CE"/>
        <family val="2"/>
        <charset val="238"/>
      </rPr>
      <t>3</t>
    </r>
  </si>
  <si>
    <r>
      <t>Cena stočné Kč/m</t>
    </r>
    <r>
      <rPr>
        <b/>
        <vertAlign val="superscript"/>
        <sz val="10"/>
        <rFont val="Arial CE"/>
        <family val="2"/>
        <charset val="238"/>
      </rPr>
      <t>3</t>
    </r>
  </si>
  <si>
    <r>
      <t>Cena srážky Kč/m</t>
    </r>
    <r>
      <rPr>
        <b/>
        <vertAlign val="superscript"/>
        <sz val="10"/>
        <rFont val="Arial CE"/>
        <family val="2"/>
        <charset val="238"/>
      </rPr>
      <t>3</t>
    </r>
  </si>
  <si>
    <t>Vodné      bez DPH Kč</t>
  </si>
  <si>
    <t>Stočné       bez DPH Kč</t>
  </si>
  <si>
    <t>Srážky       bez DPH Kč</t>
  </si>
  <si>
    <t>Náklady na vodu bez DPH         Kč</t>
  </si>
  <si>
    <t>Náklady celkem vč. DPH Kč</t>
  </si>
  <si>
    <t>Č. vodoměru</t>
  </si>
  <si>
    <t>období</t>
  </si>
  <si>
    <t>Spotřeba VT [kWh]</t>
  </si>
  <si>
    <t>Spotřeba NT [kWh]</t>
  </si>
  <si>
    <t>Spotřeba celkem [kWh]</t>
  </si>
  <si>
    <t>Platba celkem bez DPH [Kč]</t>
  </si>
  <si>
    <t>Platba celkem včetně DPH [Kč]</t>
  </si>
  <si>
    <r>
      <t>Jednotková cena [Kč.kWh</t>
    </r>
    <r>
      <rPr>
        <b/>
        <vertAlign val="superscript"/>
        <sz val="10"/>
        <rFont val="Arial"/>
        <family val="2"/>
        <charset val="238"/>
      </rPr>
      <t>-1</t>
    </r>
    <r>
      <rPr>
        <b/>
        <sz val="10"/>
        <rFont val="Arial"/>
        <family val="2"/>
        <charset val="238"/>
      </rPr>
      <t>]</t>
    </r>
  </si>
  <si>
    <t>Fakturace elektrické energie_2018</t>
  </si>
  <si>
    <t>Fakturace elektrické energie_2019</t>
  </si>
  <si>
    <t>Spotřeba vody a náklady na vodu za rok 2018</t>
  </si>
  <si>
    <t>Spotřeba vody a náklady na vodu za rok 2019</t>
  </si>
  <si>
    <t>Celkem rok 2019</t>
  </si>
  <si>
    <t>Celkem rok 2018</t>
  </si>
  <si>
    <t>CELKEM 2020</t>
  </si>
  <si>
    <t>EIC 27ZG200Z02365790</t>
  </si>
  <si>
    <t>Spotřeba zemního plynu ve spalném teple a náklady na zemní plyn 2018</t>
  </si>
  <si>
    <t>Spotřeba zemního plynu ve spalném teple a náklady na zemní plyn 2019</t>
  </si>
  <si>
    <t>Spotřeba zemního plynu ve spalném teple a náklady na zemní plyn 2020</t>
  </si>
  <si>
    <t>RRK [MW]</t>
  </si>
  <si>
    <t>ČO: 0001884782</t>
  </si>
  <si>
    <t>Fakturace elektrické energie_2020</t>
  </si>
  <si>
    <t>3UF099201</t>
  </si>
  <si>
    <t>Villaniho 2130</t>
  </si>
  <si>
    <t>1.1.-31.1.</t>
  </si>
  <si>
    <t>1.2.-28.2.</t>
  </si>
  <si>
    <t>1.3.-29.3.</t>
  </si>
  <si>
    <t>30.3.-30.4.</t>
  </si>
  <si>
    <t>1.5.-31.5.</t>
  </si>
  <si>
    <t>1.6.-26.6</t>
  </si>
  <si>
    <t>27.6.-31.7.</t>
  </si>
  <si>
    <t>1.8.-29.8.</t>
  </si>
  <si>
    <t>30.8.-30.9.</t>
  </si>
  <si>
    <t>1.10.-18.10.</t>
  </si>
  <si>
    <t>19.10.-28.11.</t>
  </si>
  <si>
    <t>29.11.-29.12.</t>
  </si>
  <si>
    <t>30.12.-31.12.</t>
  </si>
  <si>
    <t>1.1.-29.1.</t>
  </si>
  <si>
    <t>30.1.-26.2.</t>
  </si>
  <si>
    <t>27.2.-31.3.</t>
  </si>
  <si>
    <t>1.4.-27.4.</t>
  </si>
  <si>
    <t>28.4.-31.5.</t>
  </si>
  <si>
    <t>1.6.-28.6.</t>
  </si>
  <si>
    <t>29.6.-28.7.</t>
  </si>
  <si>
    <t>29.7.-1.9.</t>
  </si>
  <si>
    <t>2.9.-29.9.</t>
  </si>
  <si>
    <t>30.9.-25.10.</t>
  </si>
  <si>
    <t>26.10.-30.11.</t>
  </si>
  <si>
    <t>1.12.-31.12.</t>
  </si>
  <si>
    <t>1.2.-27.2.</t>
  </si>
  <si>
    <t>28.2.-31.3.</t>
  </si>
  <si>
    <t>1.4.-29.6</t>
  </si>
  <si>
    <t>30.6.-29.7.</t>
  </si>
  <si>
    <t>30.7.-30.8.</t>
  </si>
  <si>
    <t>31.8.-26.9.</t>
  </si>
  <si>
    <t>27.9.-29.10.</t>
  </si>
  <si>
    <t>30.10.-29.11.</t>
  </si>
  <si>
    <t>30.11.29.12.</t>
  </si>
  <si>
    <t>Celkem rok 2020</t>
  </si>
  <si>
    <t>Spotřeba vody a náklady na vodu za rok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</si>
</sst>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 CE"/>
      <charset val="238"/>
    </font>
    <font>
      <sz val="11"/>
      <color rgb="FF000000"/>
      <name val="Calibri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0"/>
      <color rgb="FF000000"/>
      <name val="Arial"/>
      <family val="2"/>
      <charset val="238"/>
    </font>
    <font>
      <sz val="10"/>
      <name val="Helv"/>
    </font>
    <font>
      <b/>
      <vertAlign val="superscript"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 applyNumberFormat="0" applyFont="0" applyBorder="0" applyProtection="0"/>
    <xf numFmtId="9" fontId="16" fillId="0" borderId="0" applyFont="0" applyFill="0" applyBorder="0" applyAlignment="0" applyProtection="0"/>
  </cellStyleXfs>
  <cellXfs count="71">
    <xf numFmtId="0" fontId="0" fillId="0" borderId="0" xfId="0"/>
    <xf numFmtId="0" fontId="5" fillId="0" borderId="0" xfId="2" applyFont="1" applyFill="1" applyAlignment="1">
      <alignment horizontal="left"/>
    </xf>
    <xf numFmtId="0" fontId="5" fillId="0" borderId="0" xfId="2" applyFont="1" applyFill="1" applyAlignment="1">
      <alignment horizontal="center"/>
    </xf>
    <xf numFmtId="0" fontId="4" fillId="0" borderId="0" xfId="2" applyFill="1"/>
    <xf numFmtId="0" fontId="3" fillId="2" borderId="12" xfId="2" applyFont="1" applyFill="1" applyBorder="1" applyAlignment="1">
      <alignment horizontal="center"/>
    </xf>
    <xf numFmtId="0" fontId="3" fillId="2" borderId="13" xfId="2" applyFont="1" applyFill="1" applyBorder="1" applyAlignment="1">
      <alignment horizontal="center" wrapText="1"/>
    </xf>
    <xf numFmtId="0" fontId="6" fillId="2" borderId="13" xfId="2" applyFont="1" applyFill="1" applyBorder="1" applyAlignment="1">
      <alignment horizontal="center" wrapText="1"/>
    </xf>
    <xf numFmtId="0" fontId="6" fillId="2" borderId="14" xfId="2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wrapText="1"/>
    </xf>
    <xf numFmtId="0" fontId="2" fillId="0" borderId="4" xfId="2" applyFont="1" applyFill="1" applyBorder="1" applyAlignment="1">
      <alignment horizontal="center"/>
    </xf>
    <xf numFmtId="2" fontId="7" fillId="3" borderId="5" xfId="2" applyNumberFormat="1" applyFont="1" applyFill="1" applyBorder="1"/>
    <xf numFmtId="3" fontId="7" fillId="0" borderId="5" xfId="2" applyNumberFormat="1" applyFont="1" applyFill="1" applyBorder="1" applyAlignment="1">
      <alignment horizontal="right"/>
    </xf>
    <xf numFmtId="0" fontId="2" fillId="0" borderId="6" xfId="2" applyFont="1" applyFill="1" applyBorder="1" applyAlignment="1">
      <alignment horizontal="center"/>
    </xf>
    <xf numFmtId="2" fontId="7" fillId="3" borderId="15" xfId="2" applyNumberFormat="1" applyFont="1" applyFill="1" applyBorder="1"/>
    <xf numFmtId="3" fontId="7" fillId="0" borderId="7" xfId="2" applyNumberFormat="1" applyFont="1" applyFill="1" applyBorder="1"/>
    <xf numFmtId="0" fontId="8" fillId="0" borderId="6" xfId="2" applyFont="1" applyFill="1" applyBorder="1" applyAlignment="1">
      <alignment horizontal="center"/>
    </xf>
    <xf numFmtId="0" fontId="8" fillId="0" borderId="8" xfId="2" applyFont="1" applyFill="1" applyBorder="1" applyAlignment="1">
      <alignment horizontal="center"/>
    </xf>
    <xf numFmtId="0" fontId="3" fillId="4" borderId="1" xfId="2" applyFont="1" applyFill="1" applyBorder="1" applyAlignment="1">
      <alignment horizontal="center"/>
    </xf>
    <xf numFmtId="2" fontId="3" fillId="4" borderId="2" xfId="2" applyNumberFormat="1" applyFont="1" applyFill="1" applyBorder="1"/>
    <xf numFmtId="3" fontId="3" fillId="4" borderId="2" xfId="2" applyNumberFormat="1" applyFont="1" applyFill="1" applyBorder="1"/>
    <xf numFmtId="3" fontId="3" fillId="4" borderId="3" xfId="2" applyNumberFormat="1" applyFont="1" applyFill="1" applyBorder="1"/>
    <xf numFmtId="2" fontId="1" fillId="2" borderId="16" xfId="0" applyNumberFormat="1" applyFont="1" applyFill="1" applyBorder="1" applyAlignment="1">
      <alignment horizontal="center"/>
    </xf>
    <xf numFmtId="0" fontId="8" fillId="0" borderId="12" xfId="2" applyFont="1" applyFill="1" applyBorder="1" applyAlignment="1">
      <alignment horizontal="center"/>
    </xf>
    <xf numFmtId="2" fontId="7" fillId="3" borderId="17" xfId="2" applyNumberFormat="1" applyFont="1" applyFill="1" applyBorder="1"/>
    <xf numFmtId="3" fontId="7" fillId="0" borderId="18" xfId="2" applyNumberFormat="1" applyFont="1" applyFill="1" applyBorder="1" applyAlignment="1">
      <alignment horizontal="right"/>
    </xf>
    <xf numFmtId="0" fontId="9" fillId="5" borderId="19" xfId="1" applyFont="1" applyFill="1" applyBorder="1"/>
    <xf numFmtId="0" fontId="3" fillId="5" borderId="20" xfId="1" applyFont="1" applyFill="1" applyBorder="1" applyAlignment="1">
      <alignment horizontal="center"/>
    </xf>
    <xf numFmtId="0" fontId="3" fillId="5" borderId="20" xfId="1" applyFont="1" applyFill="1" applyBorder="1" applyAlignment="1">
      <alignment horizontal="centerContinuous"/>
    </xf>
    <xf numFmtId="0" fontId="3" fillId="5" borderId="20" xfId="1" quotePrefix="1" applyFont="1" applyFill="1" applyBorder="1" applyAlignment="1">
      <alignment horizontal="centerContinuous"/>
    </xf>
    <xf numFmtId="0" fontId="3" fillId="5" borderId="21" xfId="1" quotePrefix="1" applyFont="1" applyFill="1" applyBorder="1" applyAlignment="1">
      <alignment horizontal="centerContinuous"/>
    </xf>
    <xf numFmtId="0" fontId="9" fillId="5" borderId="22" xfId="1" applyFont="1" applyFill="1" applyBorder="1" applyAlignment="1">
      <alignment wrapText="1"/>
    </xf>
    <xf numFmtId="0" fontId="3" fillId="5" borderId="15" xfId="1" applyFont="1" applyFill="1" applyBorder="1" applyAlignment="1">
      <alignment horizontal="center"/>
    </xf>
    <xf numFmtId="0" fontId="3" fillId="5" borderId="15" xfId="1" applyFont="1" applyFill="1" applyBorder="1" applyAlignment="1">
      <alignment horizontal="center" wrapText="1"/>
    </xf>
    <xf numFmtId="0" fontId="6" fillId="5" borderId="15" xfId="1" applyFont="1" applyFill="1" applyBorder="1" applyAlignment="1">
      <alignment horizontal="center" wrapText="1"/>
    </xf>
    <xf numFmtId="0" fontId="6" fillId="5" borderId="7" xfId="1" applyFont="1" applyFill="1" applyBorder="1" applyAlignment="1">
      <alignment horizontal="center" wrapText="1"/>
    </xf>
    <xf numFmtId="0" fontId="9" fillId="0" borderId="15" xfId="1" applyFont="1" applyBorder="1"/>
    <xf numFmtId="0" fontId="7" fillId="3" borderId="23" xfId="1" applyFont="1" applyFill="1" applyBorder="1" applyAlignment="1">
      <alignment horizontal="center"/>
    </xf>
    <xf numFmtId="3" fontId="9" fillId="0" borderId="15" xfId="1" applyNumberFormat="1" applyFont="1" applyFill="1" applyBorder="1" applyAlignment="1">
      <alignment horizontal="right"/>
    </xf>
    <xf numFmtId="2" fontId="9" fillId="0" borderId="15" xfId="1" applyNumberFormat="1" applyFont="1" applyBorder="1" applyAlignment="1">
      <alignment horizontal="right"/>
    </xf>
    <xf numFmtId="3" fontId="9" fillId="0" borderId="15" xfId="1" applyNumberFormat="1" applyFont="1" applyBorder="1" applyAlignment="1">
      <alignment horizontal="right"/>
    </xf>
    <xf numFmtId="3" fontId="9" fillId="0" borderId="7" xfId="1" applyNumberFormat="1" applyFont="1" applyBorder="1" applyAlignment="1">
      <alignment horizontal="right"/>
    </xf>
    <xf numFmtId="0" fontId="12" fillId="6" borderId="13" xfId="1" applyFont="1" applyFill="1" applyBorder="1" applyAlignment="1">
      <alignment horizontal="center"/>
    </xf>
    <xf numFmtId="3" fontId="12" fillId="6" borderId="17" xfId="1" applyNumberFormat="1" applyFont="1" applyFill="1" applyBorder="1" applyAlignment="1">
      <alignment horizontal="right"/>
    </xf>
    <xf numFmtId="0" fontId="1" fillId="0" borderId="0" xfId="0" applyFont="1"/>
    <xf numFmtId="0" fontId="13" fillId="0" borderId="0" xfId="0" applyFont="1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/>
    <xf numFmtId="0" fontId="13" fillId="0" borderId="2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3" fontId="0" fillId="0" borderId="15" xfId="0" applyNumberFormat="1" applyBorder="1" applyAlignment="1">
      <alignment horizontal="right" vertical="center" wrapText="1"/>
    </xf>
    <xf numFmtId="3" fontId="13" fillId="0" borderId="15" xfId="0" applyNumberFormat="1" applyFont="1" applyBorder="1" applyAlignment="1">
      <alignment horizontal="right" vertical="center" wrapText="1"/>
    </xf>
    <xf numFmtId="3" fontId="13" fillId="7" borderId="15" xfId="0" applyNumberFormat="1" applyFont="1" applyFill="1" applyBorder="1" applyAlignment="1">
      <alignment horizontal="right" vertical="center" wrapText="1"/>
    </xf>
    <xf numFmtId="3" fontId="0" fillId="7" borderId="26" xfId="0" applyNumberFormat="1" applyFill="1" applyBorder="1" applyAlignment="1">
      <alignment horizontal="right" vertical="center" wrapText="1"/>
    </xf>
    <xf numFmtId="2" fontId="0" fillId="7" borderId="7" xfId="0" applyNumberFormat="1" applyFill="1" applyBorder="1" applyAlignment="1">
      <alignment horizontal="right"/>
    </xf>
    <xf numFmtId="0" fontId="13" fillId="8" borderId="25" xfId="0" applyFont="1" applyFill="1" applyBorder="1" applyAlignment="1">
      <alignment horizontal="center"/>
    </xf>
    <xf numFmtId="3" fontId="13" fillId="8" borderId="2" xfId="0" applyNumberFormat="1" applyFont="1" applyFill="1" applyBorder="1" applyAlignment="1">
      <alignment horizontal="right" vertical="center" wrapText="1"/>
    </xf>
    <xf numFmtId="3" fontId="13" fillId="8" borderId="27" xfId="0" applyNumberFormat="1" applyFont="1" applyFill="1" applyBorder="1" applyAlignment="1">
      <alignment horizontal="right" vertical="center" wrapText="1"/>
    </xf>
    <xf numFmtId="2" fontId="13" fillId="8" borderId="3" xfId="0" applyNumberFormat="1" applyFont="1" applyFill="1" applyBorder="1" applyAlignment="1">
      <alignment horizontal="right"/>
    </xf>
    <xf numFmtId="0" fontId="15" fillId="0" borderId="0" xfId="0" applyFont="1" applyFill="1"/>
    <xf numFmtId="0" fontId="15" fillId="0" borderId="0" xfId="0" applyFont="1"/>
    <xf numFmtId="2" fontId="0" fillId="0" borderId="0" xfId="0" applyNumberFormat="1"/>
    <xf numFmtId="9" fontId="0" fillId="0" borderId="0" xfId="3" applyFont="1"/>
    <xf numFmtId="0" fontId="3" fillId="2" borderId="9" xfId="2" applyFont="1" applyFill="1" applyBorder="1" applyAlignment="1">
      <alignment horizontal="center"/>
    </xf>
    <xf numFmtId="0" fontId="4" fillId="2" borderId="10" xfId="2" applyFill="1" applyBorder="1" applyAlignment="1">
      <alignment horizontal="center"/>
    </xf>
    <xf numFmtId="0" fontId="4" fillId="2" borderId="11" xfId="2" applyFill="1" applyBorder="1" applyAlignment="1">
      <alignment horizontal="center"/>
    </xf>
    <xf numFmtId="0" fontId="11" fillId="3" borderId="22" xfId="1" applyFont="1" applyFill="1" applyBorder="1" applyAlignment="1">
      <alignment horizontal="center" vertical="center" wrapText="1" shrinkToFit="1"/>
    </xf>
    <xf numFmtId="0" fontId="11" fillId="3" borderId="24" xfId="1" applyFont="1" applyFill="1" applyBorder="1" applyAlignment="1">
      <alignment horizontal="center" vertical="center" wrapText="1" shrinkToFit="1"/>
    </xf>
  </cellXfs>
  <cellStyles count="4">
    <cellStyle name="Normální" xfId="0" builtinId="0"/>
    <cellStyle name="Normální 2 3" xfId="2"/>
    <cellStyle name="Normální 3" xfId="1"/>
    <cellStyle name="Procenta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Spotřeba tepla v TV [GJ]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Teplo!#REF!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Teplo!#REF!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Teplo!#REF!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FAC-439A-8730-ACB2CE9AA02B}"/>
            </c:ext>
          </c:extLst>
        </c:ser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'G:\Projects\ECZ15079_TA_Pardubicky_kraj_VR_EPC\Data\Objekty\16_Nemocnice n. p. Moravská Třebová\Spotřeby\[Spotřeby_2014_Nemocnice MTřebová.xls]EE'!#ODKAZ!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'G:\Projects\ECZ15079_TA_Pardubicky_kraj_VR_EPC\Data\Objekty\16_Nemocnice n. p. Moravská Třebová\Spotřeby\[Spotřeby_2014_Nemocnice MTřebová.xls]EE'!#ODKAZ!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FAC-439A-8730-ACB2CE9AA02B}"/>
            </c:ext>
          </c:extLst>
        </c:ser>
        <c:ser>
          <c:idx val="2"/>
          <c:order val="2"/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val>
            <c:numRef>
              <c:f>'G:\Projects\ECZ15079_TA_Pardubicky_kraj_VR_EPC\Data\Objekty\16_Nemocnice n. p. Moravská Třebová\Spotřeby\[Spotřeby_2014_Nemocnice MTřebová.xls]EE'!#ODKAZ!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'G:\Projects\ECZ15079_TA_Pardubicky_kraj_VR_EPC\Data\Objekty\16_Nemocnice n. p. Moravská Třebová\Spotřeby\[Spotřeby_2014_Nemocnice MTřebová.xls]EE'!#ODKAZ!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FFAC-439A-8730-ACB2CE9AA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87104"/>
        <c:axId val="133888640"/>
      </c:lineChart>
      <c:catAx>
        <c:axId val="133887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388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888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Teplo [GJ]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38871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17</xdr:row>
      <xdr:rowOff>0</xdr:rowOff>
    </xdr:from>
    <xdr:to>
      <xdr:col>6</xdr:col>
      <xdr:colOff>0</xdr:colOff>
      <xdr:row>17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6"/>
  <sheetViews>
    <sheetView tabSelected="1" topLeftCell="A25" workbookViewId="0">
      <selection activeCell="J48" sqref="J48"/>
    </sheetView>
  </sheetViews>
  <sheetFormatPr defaultRowHeight="15" x14ac:dyDescent="0.25"/>
  <cols>
    <col min="1" max="1" width="14.28515625" customWidth="1"/>
    <col min="2" max="2" width="12.140625" customWidth="1"/>
    <col min="3" max="6" width="19.42578125" customWidth="1"/>
  </cols>
  <sheetData>
    <row r="2" spans="1:6" ht="15.75" x14ac:dyDescent="0.25">
      <c r="A2" s="1" t="s">
        <v>44</v>
      </c>
      <c r="B2" s="2"/>
      <c r="C2" s="2"/>
      <c r="D2" s="3"/>
    </row>
    <row r="3" spans="1:6" thickBot="1" x14ac:dyDescent="0.4">
      <c r="A3" s="3"/>
      <c r="B3" s="3"/>
      <c r="C3" s="3"/>
      <c r="D3" s="3"/>
    </row>
    <row r="4" spans="1:6" ht="14.45" x14ac:dyDescent="0.35">
      <c r="A4" s="66" t="s">
        <v>43</v>
      </c>
      <c r="B4" s="67"/>
      <c r="C4" s="67"/>
      <c r="D4" s="68"/>
    </row>
    <row r="5" spans="1:6" ht="27" thickBot="1" x14ac:dyDescent="0.3">
      <c r="A5" s="4" t="s">
        <v>12</v>
      </c>
      <c r="B5" s="5" t="s">
        <v>13</v>
      </c>
      <c r="C5" s="6" t="s">
        <v>14</v>
      </c>
      <c r="D5" s="7" t="s">
        <v>15</v>
      </c>
      <c r="F5" s="8"/>
    </row>
    <row r="6" spans="1:6" ht="14.45" x14ac:dyDescent="0.35">
      <c r="A6" s="9" t="s">
        <v>0</v>
      </c>
      <c r="B6" s="10">
        <v>135.4682</v>
      </c>
      <c r="C6" s="11">
        <v>87855.86</v>
      </c>
      <c r="D6" s="14">
        <f t="shared" ref="D6:D16" si="0">C6*1.21</f>
        <v>106305.5906</v>
      </c>
    </row>
    <row r="7" spans="1:6" x14ac:dyDescent="0.25">
      <c r="A7" s="12" t="s">
        <v>1</v>
      </c>
      <c r="B7" s="13">
        <v>138.61831000000001</v>
      </c>
      <c r="C7" s="11">
        <v>89538.43</v>
      </c>
      <c r="D7" s="14">
        <f t="shared" si="0"/>
        <v>108341.50029999999</v>
      </c>
    </row>
    <row r="8" spans="1:6" x14ac:dyDescent="0.25">
      <c r="A8" s="15" t="s">
        <v>2</v>
      </c>
      <c r="B8" s="13">
        <v>135.24639999999999</v>
      </c>
      <c r="C8" s="11">
        <v>87737.39</v>
      </c>
      <c r="D8" s="14">
        <f t="shared" si="0"/>
        <v>106162.24189999999</v>
      </c>
    </row>
    <row r="9" spans="1:6" ht="14.45" x14ac:dyDescent="0.35">
      <c r="A9" s="15" t="s">
        <v>3</v>
      </c>
      <c r="B9" s="13">
        <v>63.776290000000003</v>
      </c>
      <c r="C9" s="11">
        <v>49563.05</v>
      </c>
      <c r="D9" s="14">
        <f t="shared" si="0"/>
        <v>59971.290500000003</v>
      </c>
    </row>
    <row r="10" spans="1:6" x14ac:dyDescent="0.25">
      <c r="A10" s="15" t="s">
        <v>4</v>
      </c>
      <c r="B10" s="13">
        <v>35.400840000000002</v>
      </c>
      <c r="C10" s="11">
        <v>34406.89</v>
      </c>
      <c r="D10" s="14">
        <f t="shared" si="0"/>
        <v>41632.336899999995</v>
      </c>
    </row>
    <row r="11" spans="1:6" x14ac:dyDescent="0.25">
      <c r="A11" s="15" t="s">
        <v>5</v>
      </c>
      <c r="B11" s="13">
        <v>9.7980999999999998</v>
      </c>
      <c r="C11" s="11">
        <v>29098.21</v>
      </c>
      <c r="D11" s="14">
        <f t="shared" si="0"/>
        <v>35208.8341</v>
      </c>
    </row>
    <row r="12" spans="1:6" x14ac:dyDescent="0.25">
      <c r="A12" s="15" t="s">
        <v>6</v>
      </c>
      <c r="B12" s="13">
        <v>20.4923</v>
      </c>
      <c r="C12" s="11">
        <v>26443.77</v>
      </c>
      <c r="D12" s="14">
        <f t="shared" si="0"/>
        <v>31996.9617</v>
      </c>
    </row>
    <row r="13" spans="1:6" ht="14.45" x14ac:dyDescent="0.35">
      <c r="A13" s="15" t="s">
        <v>7</v>
      </c>
      <c r="B13" s="13">
        <v>19.704660000000001</v>
      </c>
      <c r="C13" s="11">
        <v>26023.08</v>
      </c>
      <c r="D13" s="14">
        <f t="shared" si="0"/>
        <v>31487.926800000001</v>
      </c>
    </row>
    <row r="14" spans="1:6" x14ac:dyDescent="0.25">
      <c r="A14" s="15" t="s">
        <v>8</v>
      </c>
      <c r="B14" s="13">
        <v>38.183599999999998</v>
      </c>
      <c r="C14" s="11">
        <v>35893.339999999997</v>
      </c>
      <c r="D14" s="14">
        <f t="shared" si="0"/>
        <v>43430.941399999996</v>
      </c>
    </row>
    <row r="15" spans="1:6" x14ac:dyDescent="0.25">
      <c r="A15" s="15" t="s">
        <v>9</v>
      </c>
      <c r="B15" s="13">
        <v>78.494020000000006</v>
      </c>
      <c r="C15" s="11">
        <v>57424.25</v>
      </c>
      <c r="D15" s="14">
        <f t="shared" si="0"/>
        <v>69483.342499999999</v>
      </c>
    </row>
    <row r="16" spans="1:6" ht="14.45" x14ac:dyDescent="0.35">
      <c r="A16" s="15" t="s">
        <v>10</v>
      </c>
      <c r="B16" s="13">
        <v>104.47064</v>
      </c>
      <c r="C16" s="11">
        <v>71299.13</v>
      </c>
      <c r="D16" s="14">
        <f t="shared" si="0"/>
        <v>86271.9473</v>
      </c>
    </row>
    <row r="17" spans="1:9" thickBot="1" x14ac:dyDescent="0.4">
      <c r="A17" s="16" t="s">
        <v>11</v>
      </c>
      <c r="B17" s="13">
        <v>113.06272</v>
      </c>
      <c r="C17" s="11">
        <v>75888.42</v>
      </c>
      <c r="D17" s="14">
        <f>C17*1.21</f>
        <v>91824.988199999993</v>
      </c>
    </row>
    <row r="18" spans="1:9" thickBot="1" x14ac:dyDescent="0.4">
      <c r="A18" s="17" t="s">
        <v>16</v>
      </c>
      <c r="B18" s="18">
        <f>SUM(B6:B17)</f>
        <v>892.71607999999992</v>
      </c>
      <c r="C18" s="19">
        <f>SUM(C6:C17)</f>
        <v>671171.82000000007</v>
      </c>
      <c r="D18" s="20">
        <f>SUM(D6:D17)</f>
        <v>812117.90220000001</v>
      </c>
      <c r="E18" s="21">
        <f>D18/B18</f>
        <v>909.71577682346674</v>
      </c>
    </row>
    <row r="21" spans="1:9" ht="15.75" x14ac:dyDescent="0.25">
      <c r="A21" s="1" t="s">
        <v>45</v>
      </c>
      <c r="B21" s="2"/>
      <c r="C21" s="2"/>
      <c r="D21" s="3"/>
    </row>
    <row r="22" spans="1:9" thickBot="1" x14ac:dyDescent="0.4">
      <c r="A22" s="3"/>
      <c r="B22" s="3"/>
      <c r="C22" s="3"/>
      <c r="D22" s="3"/>
    </row>
    <row r="23" spans="1:9" ht="14.45" x14ac:dyDescent="0.35">
      <c r="A23" s="66" t="s">
        <v>43</v>
      </c>
      <c r="B23" s="67"/>
      <c r="C23" s="67"/>
      <c r="D23" s="68"/>
    </row>
    <row r="24" spans="1:9" ht="27" thickBot="1" x14ac:dyDescent="0.3">
      <c r="A24" s="4" t="s">
        <v>12</v>
      </c>
      <c r="B24" s="5" t="s">
        <v>13</v>
      </c>
      <c r="C24" s="6" t="s">
        <v>14</v>
      </c>
      <c r="D24" s="7" t="s">
        <v>15</v>
      </c>
    </row>
    <row r="25" spans="1:9" ht="14.45" x14ac:dyDescent="0.35">
      <c r="A25" s="9" t="s">
        <v>0</v>
      </c>
      <c r="B25" s="10">
        <v>134.15171000000001</v>
      </c>
      <c r="C25" s="11">
        <v>111556.23</v>
      </c>
      <c r="D25" s="14">
        <f t="shared" ref="D25:D35" si="1">C25*1.21</f>
        <v>134983.03829999999</v>
      </c>
    </row>
    <row r="26" spans="1:9" x14ac:dyDescent="0.25">
      <c r="A26" s="12" t="s">
        <v>1</v>
      </c>
      <c r="B26" s="13">
        <v>97.127750000000006</v>
      </c>
      <c r="C26" s="11">
        <v>84553.17</v>
      </c>
      <c r="D26" s="14">
        <f t="shared" si="1"/>
        <v>102309.3357</v>
      </c>
    </row>
    <row r="27" spans="1:9" x14ac:dyDescent="0.25">
      <c r="A27" s="15" t="s">
        <v>2</v>
      </c>
      <c r="B27" s="13">
        <v>92.901520000000005</v>
      </c>
      <c r="C27" s="11">
        <v>81470.720000000001</v>
      </c>
      <c r="D27" s="14">
        <f t="shared" si="1"/>
        <v>98579.571200000006</v>
      </c>
    </row>
    <row r="28" spans="1:9" x14ac:dyDescent="0.25">
      <c r="A28" s="15" t="s">
        <v>3</v>
      </c>
      <c r="B28" s="13">
        <v>72.083219999999997</v>
      </c>
      <c r="C28" s="11">
        <v>66287.199999999997</v>
      </c>
      <c r="D28" s="14">
        <f t="shared" si="1"/>
        <v>80207.511999999988</v>
      </c>
      <c r="G28" s="64"/>
    </row>
    <row r="29" spans="1:9" x14ac:dyDescent="0.25">
      <c r="A29" s="15" t="s">
        <v>4</v>
      </c>
      <c r="B29" s="13">
        <v>68.563550000000006</v>
      </c>
      <c r="C29" s="11">
        <v>63720.160000000003</v>
      </c>
      <c r="D29" s="14">
        <f t="shared" si="1"/>
        <v>77101.393599999996</v>
      </c>
      <c r="I29" s="65"/>
    </row>
    <row r="30" spans="1:9" x14ac:dyDescent="0.25">
      <c r="A30" s="15" t="s">
        <v>5</v>
      </c>
      <c r="B30" s="13">
        <v>17.99774</v>
      </c>
      <c r="C30" s="11">
        <v>26840.49</v>
      </c>
      <c r="D30" s="14">
        <f t="shared" si="1"/>
        <v>32476.992900000001</v>
      </c>
      <c r="G30" s="64"/>
      <c r="I30" s="65"/>
    </row>
    <row r="31" spans="1:9" x14ac:dyDescent="0.25">
      <c r="A31" s="15" t="s">
        <v>6</v>
      </c>
      <c r="B31" s="13">
        <v>20.86037</v>
      </c>
      <c r="C31" s="11">
        <v>28928.32</v>
      </c>
      <c r="D31" s="14">
        <f t="shared" si="1"/>
        <v>35003.267200000002</v>
      </c>
    </row>
    <row r="32" spans="1:9" ht="14.45" x14ac:dyDescent="0.35">
      <c r="A32" s="15" t="s">
        <v>7</v>
      </c>
      <c r="B32" s="13">
        <v>19.842030000000001</v>
      </c>
      <c r="C32" s="11">
        <v>28185.62</v>
      </c>
      <c r="D32" s="14">
        <f t="shared" si="1"/>
        <v>34104.600200000001</v>
      </c>
    </row>
    <row r="33" spans="1:5" x14ac:dyDescent="0.25">
      <c r="A33" s="15" t="s">
        <v>8</v>
      </c>
      <c r="B33" s="13">
        <v>43.34131</v>
      </c>
      <c r="C33" s="11">
        <v>45324.57</v>
      </c>
      <c r="D33" s="14">
        <f t="shared" si="1"/>
        <v>54842.729699999996</v>
      </c>
    </row>
    <row r="34" spans="1:5" x14ac:dyDescent="0.25">
      <c r="A34" s="15" t="s">
        <v>9</v>
      </c>
      <c r="B34" s="13">
        <v>78.507630000000006</v>
      </c>
      <c r="C34" s="11">
        <v>70972.77</v>
      </c>
      <c r="D34" s="14">
        <f t="shared" si="1"/>
        <v>85877.051699999996</v>
      </c>
    </row>
    <row r="35" spans="1:5" ht="14.45" x14ac:dyDescent="0.35">
      <c r="A35" s="15" t="s">
        <v>10</v>
      </c>
      <c r="B35" s="13">
        <v>95.717259999999996</v>
      </c>
      <c r="C35" s="11">
        <v>83524.45</v>
      </c>
      <c r="D35" s="14">
        <f t="shared" si="1"/>
        <v>101064.5845</v>
      </c>
    </row>
    <row r="36" spans="1:5" thickBot="1" x14ac:dyDescent="0.4">
      <c r="A36" s="16" t="s">
        <v>11</v>
      </c>
      <c r="B36" s="13">
        <v>119.93803</v>
      </c>
      <c r="C36" s="11">
        <v>101189.61</v>
      </c>
      <c r="D36" s="14">
        <f>C36*1.21</f>
        <v>122439.42809999999</v>
      </c>
    </row>
    <row r="37" spans="1:5" thickBot="1" x14ac:dyDescent="0.4">
      <c r="A37" s="17" t="s">
        <v>17</v>
      </c>
      <c r="B37" s="18">
        <f>SUM(B25:B36)</f>
        <v>861.03212000000019</v>
      </c>
      <c r="C37" s="19">
        <f>SUM(C25:C36)</f>
        <v>792553.30999999994</v>
      </c>
      <c r="D37" s="20">
        <f>SUM(D25:D36)</f>
        <v>958989.50509999995</v>
      </c>
      <c r="E37" s="21">
        <f>D37/B37</f>
        <v>1113.7673994089787</v>
      </c>
    </row>
    <row r="40" spans="1:5" ht="15.75" x14ac:dyDescent="0.25">
      <c r="A40" s="1" t="s">
        <v>46</v>
      </c>
      <c r="B40" s="2"/>
      <c r="C40" s="2"/>
      <c r="D40" s="3"/>
    </row>
    <row r="41" spans="1:5" thickBot="1" x14ac:dyDescent="0.4">
      <c r="A41" s="3"/>
      <c r="B41" s="3"/>
      <c r="C41" s="3"/>
      <c r="D41" s="3"/>
    </row>
    <row r="42" spans="1:5" ht="14.45" x14ac:dyDescent="0.35">
      <c r="A42" s="66" t="s">
        <v>43</v>
      </c>
      <c r="B42" s="67"/>
      <c r="C42" s="67"/>
      <c r="D42" s="68"/>
    </row>
    <row r="43" spans="1:5" ht="27" thickBot="1" x14ac:dyDescent="0.3">
      <c r="A43" s="4" t="s">
        <v>12</v>
      </c>
      <c r="B43" s="5" t="s">
        <v>13</v>
      </c>
      <c r="C43" s="6" t="s">
        <v>14</v>
      </c>
      <c r="D43" s="7" t="s">
        <v>15</v>
      </c>
    </row>
    <row r="44" spans="1:5" ht="14.45" x14ac:dyDescent="0.35">
      <c r="A44" s="9" t="s">
        <v>0</v>
      </c>
      <c r="B44" s="10">
        <v>123.42279000000001</v>
      </c>
      <c r="C44" s="11">
        <v>86651.45</v>
      </c>
      <c r="D44" s="14">
        <f t="shared" ref="D44:D55" si="2">C44*1.21</f>
        <v>104848.2545</v>
      </c>
    </row>
    <row r="45" spans="1:5" x14ac:dyDescent="0.25">
      <c r="A45" s="12" t="s">
        <v>1</v>
      </c>
      <c r="B45" s="13">
        <v>107.23845</v>
      </c>
      <c r="C45" s="11">
        <v>76878.86</v>
      </c>
      <c r="D45" s="14">
        <f t="shared" si="2"/>
        <v>93023.420599999998</v>
      </c>
    </row>
    <row r="46" spans="1:5" x14ac:dyDescent="0.25">
      <c r="A46" s="15" t="s">
        <v>2</v>
      </c>
      <c r="B46" s="13">
        <v>104.76925</v>
      </c>
      <c r="C46" s="11">
        <v>75387.88</v>
      </c>
      <c r="D46" s="14">
        <f t="shared" si="2"/>
        <v>91219.334799999997</v>
      </c>
    </row>
    <row r="47" spans="1:5" ht="14.45" x14ac:dyDescent="0.35">
      <c r="A47" s="15" t="s">
        <v>3</v>
      </c>
      <c r="B47" s="13">
        <v>75.710999999999999</v>
      </c>
      <c r="C47" s="11">
        <v>57841.65</v>
      </c>
      <c r="D47" s="14">
        <f t="shared" si="2"/>
        <v>69988.396500000003</v>
      </c>
    </row>
    <row r="48" spans="1:5" x14ac:dyDescent="0.25">
      <c r="A48" s="15" t="s">
        <v>4</v>
      </c>
      <c r="B48" s="13">
        <v>62.56456</v>
      </c>
      <c r="C48" s="11">
        <v>49903.402999999998</v>
      </c>
      <c r="D48" s="14">
        <f t="shared" si="2"/>
        <v>60383.117629999993</v>
      </c>
    </row>
    <row r="49" spans="1:5" x14ac:dyDescent="0.25">
      <c r="A49" s="15" t="s">
        <v>5</v>
      </c>
      <c r="B49" s="13">
        <v>33.714669999999998</v>
      </c>
      <c r="C49" s="11">
        <v>32483</v>
      </c>
      <c r="D49" s="14">
        <f t="shared" si="2"/>
        <v>39304.43</v>
      </c>
    </row>
    <row r="50" spans="1:5" x14ac:dyDescent="0.25">
      <c r="A50" s="15" t="s">
        <v>6</v>
      </c>
      <c r="B50" s="13">
        <v>24.20598</v>
      </c>
      <c r="C50" s="11">
        <v>26741.37</v>
      </c>
      <c r="D50" s="14">
        <f t="shared" si="2"/>
        <v>32357.057699999998</v>
      </c>
    </row>
    <row r="51" spans="1:5" ht="14.45" x14ac:dyDescent="0.35">
      <c r="A51" s="15" t="s">
        <v>7</v>
      </c>
      <c r="B51" s="13">
        <v>22.344390000000001</v>
      </c>
      <c r="C51" s="11">
        <v>25617.29</v>
      </c>
      <c r="D51" s="14">
        <f>C51*1.21</f>
        <v>30996.920900000001</v>
      </c>
    </row>
    <row r="52" spans="1:5" x14ac:dyDescent="0.25">
      <c r="A52" s="15" t="s">
        <v>8</v>
      </c>
      <c r="B52" s="13">
        <v>46.421199999999999</v>
      </c>
      <c r="C52" s="11">
        <v>40155.589999999997</v>
      </c>
      <c r="D52" s="14">
        <f t="shared" si="2"/>
        <v>48588.263899999991</v>
      </c>
    </row>
    <row r="53" spans="1:5" x14ac:dyDescent="0.25">
      <c r="A53" s="15" t="s">
        <v>9</v>
      </c>
      <c r="B53" s="13">
        <v>84.32011</v>
      </c>
      <c r="C53" s="11">
        <v>63040.09</v>
      </c>
      <c r="D53" s="14">
        <f t="shared" si="2"/>
        <v>76278.508900000001</v>
      </c>
    </row>
    <row r="54" spans="1:5" ht="14.45" x14ac:dyDescent="0.35">
      <c r="A54" s="15" t="s">
        <v>10</v>
      </c>
      <c r="B54" s="13">
        <v>104.79195</v>
      </c>
      <c r="C54" s="11">
        <v>75401.59</v>
      </c>
      <c r="D54" s="14">
        <f t="shared" si="2"/>
        <v>91235.923899999994</v>
      </c>
    </row>
    <row r="55" spans="1:5" thickBot="1" x14ac:dyDescent="0.4">
      <c r="A55" s="22" t="s">
        <v>11</v>
      </c>
      <c r="B55" s="23">
        <v>123.71298</v>
      </c>
      <c r="C55" s="24">
        <v>86826.68</v>
      </c>
      <c r="D55" s="14">
        <f t="shared" si="2"/>
        <v>105060.28279999999</v>
      </c>
    </row>
    <row r="56" spans="1:5" thickBot="1" x14ac:dyDescent="0.4">
      <c r="A56" s="17" t="s">
        <v>42</v>
      </c>
      <c r="B56" s="18">
        <f>SUM(B44:B55)</f>
        <v>913.21733000000006</v>
      </c>
      <c r="C56" s="19">
        <f>SUM(C44:C55)</f>
        <v>696928.85299999989</v>
      </c>
      <c r="D56" s="20">
        <f>SUM(D44:D55)</f>
        <v>843283.91212999984</v>
      </c>
      <c r="E56" s="21">
        <f>D56/B56</f>
        <v>923.42083798387819</v>
      </c>
    </row>
  </sheetData>
  <mergeCells count="3">
    <mergeCell ref="A4:D4"/>
    <mergeCell ref="A23:D23"/>
    <mergeCell ref="A42:D42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0"/>
  <sheetViews>
    <sheetView topLeftCell="A42" workbookViewId="0">
      <selection activeCell="I42" sqref="I42"/>
    </sheetView>
  </sheetViews>
  <sheetFormatPr defaultRowHeight="15" x14ac:dyDescent="0.25"/>
  <cols>
    <col min="2" max="3" width="13.42578125" customWidth="1"/>
    <col min="4" max="4" width="11.85546875" customWidth="1"/>
    <col min="5" max="5" width="10.7109375" customWidth="1"/>
    <col min="6" max="6" width="15.7109375" customWidth="1"/>
    <col min="7" max="7" width="15" customWidth="1"/>
    <col min="8" max="8" width="15.42578125" customWidth="1"/>
  </cols>
  <sheetData>
    <row r="2" spans="1:8" ht="15.75" thickBot="1" x14ac:dyDescent="0.3">
      <c r="A2" s="44" t="s">
        <v>36</v>
      </c>
      <c r="B2" s="45"/>
      <c r="C2" s="46"/>
      <c r="D2" s="45" t="s">
        <v>48</v>
      </c>
      <c r="E2" s="62"/>
      <c r="F2" s="46"/>
      <c r="G2" s="46"/>
      <c r="H2" s="46"/>
    </row>
    <row r="3" spans="1:8" ht="39" thickBot="1" x14ac:dyDescent="0.3">
      <c r="A3" s="47" t="s">
        <v>29</v>
      </c>
      <c r="B3" s="47" t="s">
        <v>47</v>
      </c>
      <c r="C3" s="48" t="s">
        <v>30</v>
      </c>
      <c r="D3" s="48" t="s">
        <v>31</v>
      </c>
      <c r="E3" s="48" t="s">
        <v>32</v>
      </c>
      <c r="F3" s="49" t="s">
        <v>33</v>
      </c>
      <c r="G3" s="49" t="s">
        <v>34</v>
      </c>
      <c r="H3" s="50" t="s">
        <v>35</v>
      </c>
    </row>
    <row r="4" spans="1:8" ht="14.45" x14ac:dyDescent="0.35">
      <c r="A4" s="51" t="s">
        <v>0</v>
      </c>
      <c r="B4" s="52">
        <v>0.1</v>
      </c>
      <c r="C4" s="53">
        <v>13278</v>
      </c>
      <c r="D4" s="53">
        <v>14952</v>
      </c>
      <c r="E4" s="54">
        <f t="shared" ref="E4:E15" si="0">C4+D4</f>
        <v>28230</v>
      </c>
      <c r="F4" s="55">
        <v>62748.03</v>
      </c>
      <c r="G4" s="56">
        <f>F4*1.21</f>
        <v>75925.116299999994</v>
      </c>
      <c r="H4" s="57">
        <f t="shared" ref="H4:H16" si="1">G4/(C4+D4)</f>
        <v>2.6895188204038254</v>
      </c>
    </row>
    <row r="5" spans="1:8" x14ac:dyDescent="0.25">
      <c r="A5" s="51" t="s">
        <v>1</v>
      </c>
      <c r="B5" s="52">
        <v>0.1</v>
      </c>
      <c r="C5" s="53">
        <v>11960</v>
      </c>
      <c r="D5" s="53">
        <v>13974</v>
      </c>
      <c r="E5" s="54">
        <f t="shared" si="0"/>
        <v>25934</v>
      </c>
      <c r="F5" s="55">
        <v>59302.31</v>
      </c>
      <c r="G5" s="56">
        <f t="shared" ref="G5:G15" si="2">F5*1.21</f>
        <v>71755.795099999988</v>
      </c>
      <c r="H5" s="57">
        <f t="shared" si="1"/>
        <v>2.7668618454538438</v>
      </c>
    </row>
    <row r="6" spans="1:8" x14ac:dyDescent="0.25">
      <c r="A6" s="51" t="s">
        <v>2</v>
      </c>
      <c r="B6" s="52">
        <v>0.1</v>
      </c>
      <c r="C6" s="53">
        <v>12338</v>
      </c>
      <c r="D6" s="53">
        <v>14956</v>
      </c>
      <c r="E6" s="54">
        <f t="shared" si="0"/>
        <v>27294</v>
      </c>
      <c r="F6" s="55">
        <v>60783.96</v>
      </c>
      <c r="G6" s="56">
        <f t="shared" si="2"/>
        <v>73548.5916</v>
      </c>
      <c r="H6" s="57">
        <f t="shared" si="1"/>
        <v>2.6946798417234556</v>
      </c>
    </row>
    <row r="7" spans="1:8" ht="14.45" x14ac:dyDescent="0.35">
      <c r="A7" s="51" t="s">
        <v>3</v>
      </c>
      <c r="B7" s="52">
        <v>0.1</v>
      </c>
      <c r="C7" s="53">
        <v>10494</v>
      </c>
      <c r="D7" s="53">
        <v>12974</v>
      </c>
      <c r="E7" s="54">
        <f t="shared" si="0"/>
        <v>23468</v>
      </c>
      <c r="F7" s="55">
        <v>55625.75</v>
      </c>
      <c r="G7" s="56">
        <f t="shared" si="2"/>
        <v>67307.157500000001</v>
      </c>
      <c r="H7" s="57">
        <f t="shared" si="1"/>
        <v>2.8680397775694564</v>
      </c>
    </row>
    <row r="8" spans="1:8" x14ac:dyDescent="0.25">
      <c r="A8" s="51" t="s">
        <v>4</v>
      </c>
      <c r="B8" s="52">
        <v>0.1</v>
      </c>
      <c r="C8" s="53">
        <v>10847</v>
      </c>
      <c r="D8" s="53">
        <v>12344</v>
      </c>
      <c r="E8" s="54">
        <f t="shared" si="0"/>
        <v>23191</v>
      </c>
      <c r="F8" s="55">
        <v>55488.95</v>
      </c>
      <c r="G8" s="56">
        <f t="shared" si="2"/>
        <v>67141.629499999995</v>
      </c>
      <c r="H8" s="57">
        <f t="shared" si="1"/>
        <v>2.8951588762882152</v>
      </c>
    </row>
    <row r="9" spans="1:8" x14ac:dyDescent="0.25">
      <c r="A9" s="51" t="s">
        <v>5</v>
      </c>
      <c r="B9" s="52">
        <v>0.1</v>
      </c>
      <c r="C9" s="53">
        <v>10689</v>
      </c>
      <c r="D9" s="53">
        <v>11799</v>
      </c>
      <c r="E9" s="54">
        <f t="shared" si="0"/>
        <v>22488</v>
      </c>
      <c r="F9" s="55">
        <v>54619.49</v>
      </c>
      <c r="G9" s="56">
        <f t="shared" si="2"/>
        <v>66089.582899999994</v>
      </c>
      <c r="H9" s="57">
        <f t="shared" si="1"/>
        <v>2.9388821993952328</v>
      </c>
    </row>
    <row r="10" spans="1:8" x14ac:dyDescent="0.25">
      <c r="A10" s="51" t="s">
        <v>6</v>
      </c>
      <c r="B10" s="52">
        <v>0.1</v>
      </c>
      <c r="C10" s="53">
        <v>10141</v>
      </c>
      <c r="D10" s="53">
        <v>12890</v>
      </c>
      <c r="E10" s="54">
        <f t="shared" si="0"/>
        <v>23031</v>
      </c>
      <c r="F10" s="55">
        <v>54992.76</v>
      </c>
      <c r="G10" s="56">
        <f t="shared" si="2"/>
        <v>66541.239600000001</v>
      </c>
      <c r="H10" s="57">
        <f t="shared" si="1"/>
        <v>2.8892032304285529</v>
      </c>
    </row>
    <row r="11" spans="1:8" ht="14.45" x14ac:dyDescent="0.35">
      <c r="A11" s="51" t="s">
        <v>7</v>
      </c>
      <c r="B11" s="52">
        <v>0.1</v>
      </c>
      <c r="C11" s="53">
        <v>12036</v>
      </c>
      <c r="D11" s="53">
        <v>12846</v>
      </c>
      <c r="E11" s="54">
        <f t="shared" si="0"/>
        <v>24882</v>
      </c>
      <c r="F11" s="55">
        <v>57918.42</v>
      </c>
      <c r="G11" s="56">
        <f t="shared" si="2"/>
        <v>70081.288199999995</v>
      </c>
      <c r="H11" s="57">
        <f t="shared" si="1"/>
        <v>2.8165456233421748</v>
      </c>
    </row>
    <row r="12" spans="1:8" x14ac:dyDescent="0.25">
      <c r="A12" s="51" t="s">
        <v>8</v>
      </c>
      <c r="B12" s="52">
        <v>0.1</v>
      </c>
      <c r="C12" s="53">
        <v>10142</v>
      </c>
      <c r="D12" s="53">
        <v>13180</v>
      </c>
      <c r="E12" s="54">
        <f t="shared" si="0"/>
        <v>23322</v>
      </c>
      <c r="F12" s="55">
        <v>55354.7</v>
      </c>
      <c r="G12" s="56">
        <f t="shared" si="2"/>
        <v>66979.186999999991</v>
      </c>
      <c r="H12" s="57">
        <f t="shared" si="1"/>
        <v>2.8719315238830285</v>
      </c>
    </row>
    <row r="13" spans="1:8" x14ac:dyDescent="0.25">
      <c r="A13" s="51" t="s">
        <v>9</v>
      </c>
      <c r="B13" s="52">
        <v>0.1</v>
      </c>
      <c r="C13" s="53">
        <v>12760</v>
      </c>
      <c r="D13" s="53">
        <v>12963</v>
      </c>
      <c r="E13" s="54">
        <f t="shared" si="0"/>
        <v>25723</v>
      </c>
      <c r="F13" s="55">
        <v>59171.66</v>
      </c>
      <c r="G13" s="56">
        <f t="shared" si="2"/>
        <v>71597.708599999998</v>
      </c>
      <c r="H13" s="57">
        <f t="shared" si="1"/>
        <v>2.7834120670217315</v>
      </c>
    </row>
    <row r="14" spans="1:8" ht="14.45" x14ac:dyDescent="0.35">
      <c r="A14" s="51" t="s">
        <v>10</v>
      </c>
      <c r="B14" s="52">
        <v>0.1</v>
      </c>
      <c r="C14" s="53">
        <v>13330</v>
      </c>
      <c r="D14" s="53">
        <v>13919</v>
      </c>
      <c r="E14" s="54">
        <f t="shared" si="0"/>
        <v>27249</v>
      </c>
      <c r="F14" s="55">
        <v>61171.33</v>
      </c>
      <c r="G14" s="56">
        <f t="shared" si="2"/>
        <v>74017.309299999994</v>
      </c>
      <c r="H14" s="57">
        <f t="shared" si="1"/>
        <v>2.7163312158244337</v>
      </c>
    </row>
    <row r="15" spans="1:8" thickBot="1" x14ac:dyDescent="0.4">
      <c r="A15" s="51" t="s">
        <v>11</v>
      </c>
      <c r="B15" s="52">
        <v>0.1</v>
      </c>
      <c r="C15" s="53">
        <v>11327</v>
      </c>
      <c r="D15" s="53">
        <v>16826</v>
      </c>
      <c r="E15" s="54">
        <f t="shared" si="0"/>
        <v>28153</v>
      </c>
      <c r="F15" s="55">
        <v>61358.22</v>
      </c>
      <c r="G15" s="56">
        <f t="shared" si="2"/>
        <v>74243.446200000006</v>
      </c>
      <c r="H15" s="57">
        <f t="shared" si="1"/>
        <v>2.6371415550740598</v>
      </c>
    </row>
    <row r="16" spans="1:8" thickBot="1" x14ac:dyDescent="0.4">
      <c r="A16" s="58"/>
      <c r="B16" s="58"/>
      <c r="C16" s="59">
        <f>SUBTOTAL(9,C4:C15)</f>
        <v>139342</v>
      </c>
      <c r="D16" s="59">
        <f>SUBTOTAL(9,D4:D15)</f>
        <v>163623</v>
      </c>
      <c r="E16" s="59">
        <f>C16+D16</f>
        <v>302965</v>
      </c>
      <c r="F16" s="59">
        <f>SUBTOTAL(9,F4:F15)</f>
        <v>698535.58</v>
      </c>
      <c r="G16" s="60">
        <f>SUBTOTAL(9,G4:G15)</f>
        <v>845228.0517999999</v>
      </c>
      <c r="H16" s="61">
        <f t="shared" si="1"/>
        <v>2.7898537844305444</v>
      </c>
    </row>
    <row r="19" spans="1:8" ht="15.75" thickBot="1" x14ac:dyDescent="0.3">
      <c r="A19" s="44" t="s">
        <v>37</v>
      </c>
      <c r="B19" s="45"/>
      <c r="C19" s="46"/>
      <c r="D19" s="45" t="s">
        <v>48</v>
      </c>
      <c r="E19" s="62"/>
      <c r="F19" s="46"/>
      <c r="G19" s="46"/>
      <c r="H19" s="46"/>
    </row>
    <row r="20" spans="1:8" ht="39" thickBot="1" x14ac:dyDescent="0.3">
      <c r="A20" s="47" t="s">
        <v>29</v>
      </c>
      <c r="B20" s="47" t="s">
        <v>47</v>
      </c>
      <c r="C20" s="48" t="s">
        <v>30</v>
      </c>
      <c r="D20" s="48" t="s">
        <v>31</v>
      </c>
      <c r="E20" s="48" t="s">
        <v>32</v>
      </c>
      <c r="F20" s="49" t="s">
        <v>33</v>
      </c>
      <c r="G20" s="49" t="s">
        <v>34</v>
      </c>
      <c r="H20" s="50" t="s">
        <v>35</v>
      </c>
    </row>
    <row r="21" spans="1:8" ht="14.45" x14ac:dyDescent="0.35">
      <c r="A21" s="51" t="s">
        <v>0</v>
      </c>
      <c r="B21" s="52">
        <v>0.1</v>
      </c>
      <c r="C21" s="53">
        <v>14136</v>
      </c>
      <c r="D21" s="53">
        <v>16183</v>
      </c>
      <c r="E21" s="54">
        <f t="shared" ref="E21:E32" si="3">C21+D21</f>
        <v>30319</v>
      </c>
      <c r="F21" s="55">
        <v>80649.73</v>
      </c>
      <c r="G21" s="56">
        <f>F21*1.21</f>
        <v>97586.173299999995</v>
      </c>
      <c r="H21" s="57">
        <f t="shared" ref="H21:H33" si="4">G21/(C21+D21)</f>
        <v>3.2186474916718888</v>
      </c>
    </row>
    <row r="22" spans="1:8" x14ac:dyDescent="0.25">
      <c r="A22" s="51" t="s">
        <v>1</v>
      </c>
      <c r="B22" s="52">
        <v>0.1</v>
      </c>
      <c r="C22" s="53">
        <v>11457</v>
      </c>
      <c r="D22" s="53">
        <v>13179</v>
      </c>
      <c r="E22" s="54">
        <f t="shared" si="3"/>
        <v>24636</v>
      </c>
      <c r="F22" s="55">
        <v>68288.62</v>
      </c>
      <c r="G22" s="56">
        <f t="shared" ref="G22:G32" si="5">F22*1.21</f>
        <v>82629.230199999991</v>
      </c>
      <c r="H22" s="57">
        <f t="shared" si="4"/>
        <v>3.3540034989446337</v>
      </c>
    </row>
    <row r="23" spans="1:8" x14ac:dyDescent="0.25">
      <c r="A23" s="51" t="s">
        <v>2</v>
      </c>
      <c r="B23" s="52">
        <v>0.1</v>
      </c>
      <c r="C23" s="53">
        <v>11383</v>
      </c>
      <c r="D23" s="53">
        <v>12844</v>
      </c>
      <c r="E23" s="54">
        <f t="shared" si="3"/>
        <v>24227</v>
      </c>
      <c r="F23" s="55">
        <v>67635.03</v>
      </c>
      <c r="G23" s="56">
        <f t="shared" si="5"/>
        <v>81838.386299999998</v>
      </c>
      <c r="H23" s="57">
        <f t="shared" si="4"/>
        <v>3.3779826763528296</v>
      </c>
    </row>
    <row r="24" spans="1:8" ht="14.45" x14ac:dyDescent="0.35">
      <c r="A24" s="51" t="s">
        <v>3</v>
      </c>
      <c r="B24" s="52">
        <v>0.1</v>
      </c>
      <c r="C24" s="53">
        <v>10622</v>
      </c>
      <c r="D24" s="53">
        <v>12843</v>
      </c>
      <c r="E24" s="54">
        <f t="shared" si="3"/>
        <v>23465</v>
      </c>
      <c r="F24" s="55">
        <v>66050.679999999993</v>
      </c>
      <c r="G24" s="56">
        <f t="shared" si="5"/>
        <v>79921.322799999994</v>
      </c>
      <c r="H24" s="57">
        <f t="shared" si="4"/>
        <v>3.4059800894949923</v>
      </c>
    </row>
    <row r="25" spans="1:8" x14ac:dyDescent="0.25">
      <c r="A25" s="51" t="s">
        <v>4</v>
      </c>
      <c r="B25" s="52">
        <v>0.1</v>
      </c>
      <c r="C25" s="53">
        <v>11178</v>
      </c>
      <c r="D25" s="53">
        <v>12741</v>
      </c>
      <c r="E25" s="54">
        <f t="shared" si="3"/>
        <v>23919</v>
      </c>
      <c r="F25" s="55">
        <v>67049.539999999994</v>
      </c>
      <c r="G25" s="56">
        <f t="shared" si="5"/>
        <v>81129.943399999989</v>
      </c>
      <c r="H25" s="57">
        <f t="shared" si="4"/>
        <v>3.3918618420502527</v>
      </c>
    </row>
    <row r="26" spans="1:8" x14ac:dyDescent="0.25">
      <c r="A26" s="51" t="s">
        <v>5</v>
      </c>
      <c r="B26" s="52">
        <v>0.1</v>
      </c>
      <c r="C26" s="53">
        <v>10126</v>
      </c>
      <c r="D26" s="53">
        <v>11725</v>
      </c>
      <c r="E26" s="54">
        <f t="shared" si="3"/>
        <v>21851</v>
      </c>
      <c r="F26" s="55">
        <v>63288.87</v>
      </c>
      <c r="G26" s="56">
        <f t="shared" si="5"/>
        <v>76579.532699999996</v>
      </c>
      <c r="H26" s="57">
        <f t="shared" si="4"/>
        <v>3.5046237105853275</v>
      </c>
    </row>
    <row r="27" spans="1:8" x14ac:dyDescent="0.25">
      <c r="A27" s="51" t="s">
        <v>6</v>
      </c>
      <c r="B27" s="52">
        <v>0.1</v>
      </c>
      <c r="C27" s="53">
        <v>10794</v>
      </c>
      <c r="D27" s="53">
        <v>11072</v>
      </c>
      <c r="E27" s="54">
        <f t="shared" si="3"/>
        <v>21866</v>
      </c>
      <c r="F27" s="55">
        <v>64804.19</v>
      </c>
      <c r="G27" s="56">
        <f t="shared" si="5"/>
        <v>78413.069900000002</v>
      </c>
      <c r="H27" s="57">
        <f t="shared" si="4"/>
        <v>3.5860728939906705</v>
      </c>
    </row>
    <row r="28" spans="1:8" ht="14.45" x14ac:dyDescent="0.35">
      <c r="A28" s="51" t="s">
        <v>7</v>
      </c>
      <c r="B28" s="52">
        <v>0.1</v>
      </c>
      <c r="C28" s="53">
        <v>10593</v>
      </c>
      <c r="D28" s="53">
        <v>11371</v>
      </c>
      <c r="E28" s="54">
        <f t="shared" si="3"/>
        <v>21964</v>
      </c>
      <c r="F28" s="55">
        <v>63713.8</v>
      </c>
      <c r="G28" s="56">
        <f t="shared" si="5"/>
        <v>77093.698000000004</v>
      </c>
      <c r="H28" s="57">
        <f t="shared" si="4"/>
        <v>3.5100026406847569</v>
      </c>
    </row>
    <row r="29" spans="1:8" x14ac:dyDescent="0.25">
      <c r="A29" s="51" t="s">
        <v>8</v>
      </c>
      <c r="B29" s="52">
        <v>0.1</v>
      </c>
      <c r="C29" s="53">
        <v>10321</v>
      </c>
      <c r="D29" s="53">
        <v>11116</v>
      </c>
      <c r="E29" s="54">
        <f t="shared" si="3"/>
        <v>21437</v>
      </c>
      <c r="F29" s="55">
        <v>62749.7</v>
      </c>
      <c r="G29" s="56">
        <f t="shared" si="5"/>
        <v>75927.136999999988</v>
      </c>
      <c r="H29" s="57">
        <f t="shared" si="4"/>
        <v>3.5418732565191018</v>
      </c>
    </row>
    <row r="30" spans="1:8" x14ac:dyDescent="0.25">
      <c r="A30" s="51" t="s">
        <v>9</v>
      </c>
      <c r="B30" s="52">
        <v>0.1</v>
      </c>
      <c r="C30" s="53">
        <v>11829</v>
      </c>
      <c r="D30" s="53">
        <v>12353</v>
      </c>
      <c r="E30" s="54">
        <f t="shared" si="3"/>
        <v>24182</v>
      </c>
      <c r="F30" s="55">
        <v>67865.19</v>
      </c>
      <c r="G30" s="56">
        <f t="shared" si="5"/>
        <v>82116.8799</v>
      </c>
      <c r="H30" s="57">
        <f t="shared" si="4"/>
        <v>3.3957852907120998</v>
      </c>
    </row>
    <row r="31" spans="1:8" ht="14.45" x14ac:dyDescent="0.35">
      <c r="A31" s="51" t="s">
        <v>10</v>
      </c>
      <c r="B31" s="52">
        <v>0.1</v>
      </c>
      <c r="C31" s="53">
        <v>11602</v>
      </c>
      <c r="D31" s="53">
        <v>12661</v>
      </c>
      <c r="E31" s="54">
        <f t="shared" si="3"/>
        <v>24263</v>
      </c>
      <c r="F31" s="55">
        <v>67815.98</v>
      </c>
      <c r="G31" s="56">
        <f t="shared" si="5"/>
        <v>82057.335799999986</v>
      </c>
      <c r="H31" s="57">
        <f t="shared" si="4"/>
        <v>3.3819946338045579</v>
      </c>
    </row>
    <row r="32" spans="1:8" thickBot="1" x14ac:dyDescent="0.4">
      <c r="A32" s="51" t="s">
        <v>11</v>
      </c>
      <c r="B32" s="52">
        <v>0.1</v>
      </c>
      <c r="C32" s="53">
        <v>10982</v>
      </c>
      <c r="D32" s="53">
        <v>14639</v>
      </c>
      <c r="E32" s="54">
        <f t="shared" si="3"/>
        <v>25621</v>
      </c>
      <c r="F32" s="55">
        <v>69623.91</v>
      </c>
      <c r="G32" s="56">
        <f t="shared" si="5"/>
        <v>84244.931100000002</v>
      </c>
      <c r="H32" s="57">
        <f t="shared" si="4"/>
        <v>3.2881203348815427</v>
      </c>
    </row>
    <row r="33" spans="1:8" thickBot="1" x14ac:dyDescent="0.4">
      <c r="A33" s="58"/>
      <c r="B33" s="58"/>
      <c r="C33" s="59">
        <f>SUBTOTAL(9,C21:C32)</f>
        <v>135023</v>
      </c>
      <c r="D33" s="59">
        <f>SUBTOTAL(9,D21:D32)</f>
        <v>152727</v>
      </c>
      <c r="E33" s="59">
        <f>C33+D33</f>
        <v>287750</v>
      </c>
      <c r="F33" s="59">
        <f>SUBTOTAL(9,F21:F32)</f>
        <v>809535.23999999987</v>
      </c>
      <c r="G33" s="60">
        <f>SUBTOTAL(9,G21:G32)</f>
        <v>979537.64040000003</v>
      </c>
      <c r="H33" s="61">
        <f t="shared" si="4"/>
        <v>3.4041273341442224</v>
      </c>
    </row>
    <row r="36" spans="1:8" ht="15.75" thickBot="1" x14ac:dyDescent="0.3">
      <c r="A36" s="44" t="s">
        <v>49</v>
      </c>
      <c r="B36" s="45"/>
      <c r="C36" s="46"/>
      <c r="D36" s="45" t="s">
        <v>48</v>
      </c>
      <c r="E36" s="62"/>
      <c r="F36" s="46"/>
      <c r="G36" s="46"/>
      <c r="H36" s="46"/>
    </row>
    <row r="37" spans="1:8" ht="39" thickBot="1" x14ac:dyDescent="0.3">
      <c r="A37" s="47" t="s">
        <v>29</v>
      </c>
      <c r="B37" s="47" t="s">
        <v>47</v>
      </c>
      <c r="C37" s="48" t="s">
        <v>30</v>
      </c>
      <c r="D37" s="48" t="s">
        <v>31</v>
      </c>
      <c r="E37" s="48" t="s">
        <v>32</v>
      </c>
      <c r="F37" s="49" t="s">
        <v>33</v>
      </c>
      <c r="G37" s="49" t="s">
        <v>34</v>
      </c>
      <c r="H37" s="50" t="s">
        <v>35</v>
      </c>
    </row>
    <row r="38" spans="1:8" ht="14.45" x14ac:dyDescent="0.35">
      <c r="A38" s="51" t="s">
        <v>0</v>
      </c>
      <c r="B38" s="52">
        <v>0.1</v>
      </c>
      <c r="C38" s="53">
        <v>12809</v>
      </c>
      <c r="D38" s="53">
        <v>13687</v>
      </c>
      <c r="E38" s="54">
        <f t="shared" ref="E38:E49" si="6">C38+D38</f>
        <v>26496</v>
      </c>
      <c r="F38" s="55">
        <v>69405.460000000006</v>
      </c>
      <c r="G38" s="56">
        <f>F38*1.21</f>
        <v>83980.606599999999</v>
      </c>
      <c r="H38" s="57">
        <f t="shared" ref="H38:H50" si="7">G38/(C38+D38)</f>
        <v>3.1695579181763285</v>
      </c>
    </row>
    <row r="39" spans="1:8" x14ac:dyDescent="0.25">
      <c r="A39" s="51" t="s">
        <v>1</v>
      </c>
      <c r="B39" s="52">
        <v>0.1</v>
      </c>
      <c r="C39" s="53">
        <v>10662</v>
      </c>
      <c r="D39" s="53">
        <v>11721</v>
      </c>
      <c r="E39" s="54">
        <f t="shared" si="6"/>
        <v>22383</v>
      </c>
      <c r="F39" s="55">
        <v>62218.31</v>
      </c>
      <c r="G39" s="56">
        <f t="shared" ref="G39:G49" si="8">F39*1.21</f>
        <v>75284.155099999989</v>
      </c>
      <c r="H39" s="57">
        <f t="shared" si="7"/>
        <v>3.3634524013760436</v>
      </c>
    </row>
    <row r="40" spans="1:8" x14ac:dyDescent="0.25">
      <c r="A40" s="51" t="s">
        <v>2</v>
      </c>
      <c r="B40" s="52">
        <v>0.1</v>
      </c>
      <c r="C40" s="53">
        <v>11045</v>
      </c>
      <c r="D40" s="53">
        <v>12705</v>
      </c>
      <c r="E40" s="54">
        <f t="shared" si="6"/>
        <v>23750</v>
      </c>
      <c r="F40" s="55">
        <v>64521.88</v>
      </c>
      <c r="G40" s="56">
        <f t="shared" si="8"/>
        <v>78071.474799999996</v>
      </c>
      <c r="H40" s="57">
        <f t="shared" si="7"/>
        <v>3.2872199915789473</v>
      </c>
    </row>
    <row r="41" spans="1:8" ht="14.45" x14ac:dyDescent="0.35">
      <c r="A41" s="51" t="s">
        <v>3</v>
      </c>
      <c r="B41" s="52">
        <v>0.1</v>
      </c>
      <c r="C41" s="53">
        <v>9457</v>
      </c>
      <c r="D41" s="53">
        <v>12925</v>
      </c>
      <c r="E41" s="54">
        <f t="shared" si="6"/>
        <v>22382</v>
      </c>
      <c r="F41" s="55">
        <v>61784.02</v>
      </c>
      <c r="G41" s="56">
        <f t="shared" si="8"/>
        <v>74758.664199999999</v>
      </c>
      <c r="H41" s="57">
        <f t="shared" si="7"/>
        <v>3.3401243946028059</v>
      </c>
    </row>
    <row r="42" spans="1:8" x14ac:dyDescent="0.25">
      <c r="A42" s="51" t="s">
        <v>4</v>
      </c>
      <c r="B42" s="52">
        <v>0.1</v>
      </c>
      <c r="C42" s="53"/>
      <c r="D42" s="53"/>
      <c r="E42" s="54">
        <v>21607</v>
      </c>
      <c r="F42" s="55">
        <v>60304.2</v>
      </c>
      <c r="G42" s="56">
        <f t="shared" si="8"/>
        <v>72968.081999999995</v>
      </c>
      <c r="H42" s="57" t="e">
        <f t="shared" si="7"/>
        <v>#DIV/0!</v>
      </c>
    </row>
    <row r="43" spans="1:8" x14ac:dyDescent="0.25">
      <c r="A43" s="51" t="s">
        <v>5</v>
      </c>
      <c r="B43" s="52">
        <v>0.1</v>
      </c>
      <c r="C43" s="53">
        <v>10451</v>
      </c>
      <c r="D43" s="53">
        <v>10359</v>
      </c>
      <c r="E43" s="54">
        <f t="shared" si="6"/>
        <v>20810</v>
      </c>
      <c r="F43" s="55">
        <v>59734.79</v>
      </c>
      <c r="G43" s="56">
        <f t="shared" si="8"/>
        <v>72279.0959</v>
      </c>
      <c r="H43" s="57">
        <f t="shared" si="7"/>
        <v>3.4732866842864007</v>
      </c>
    </row>
    <row r="44" spans="1:8" x14ac:dyDescent="0.25">
      <c r="A44" s="51" t="s">
        <v>6</v>
      </c>
      <c r="B44" s="52">
        <v>0.1</v>
      </c>
      <c r="C44" s="53">
        <v>10884</v>
      </c>
      <c r="D44" s="53">
        <v>11794</v>
      </c>
      <c r="E44" s="54">
        <f t="shared" si="6"/>
        <v>22678</v>
      </c>
      <c r="F44" s="55">
        <v>62750.65</v>
      </c>
      <c r="G44" s="56">
        <f t="shared" si="8"/>
        <v>75928.286500000002</v>
      </c>
      <c r="H44" s="57">
        <f t="shared" si="7"/>
        <v>3.3481032939412647</v>
      </c>
    </row>
    <row r="45" spans="1:8" ht="14.45" x14ac:dyDescent="0.35">
      <c r="A45" s="51" t="s">
        <v>7</v>
      </c>
      <c r="B45" s="52">
        <v>0.1</v>
      </c>
      <c r="C45" s="53">
        <v>10321</v>
      </c>
      <c r="D45" s="53">
        <v>11985</v>
      </c>
      <c r="E45" s="54">
        <f t="shared" si="6"/>
        <v>22306</v>
      </c>
      <c r="F45" s="55">
        <v>61998.63</v>
      </c>
      <c r="G45" s="56">
        <f t="shared" si="8"/>
        <v>75018.342299999989</v>
      </c>
      <c r="H45" s="57">
        <f t="shared" si="7"/>
        <v>3.3631463417914458</v>
      </c>
    </row>
    <row r="46" spans="1:8" x14ac:dyDescent="0.25">
      <c r="A46" s="51" t="s">
        <v>8</v>
      </c>
      <c r="B46" s="52">
        <v>0.1</v>
      </c>
      <c r="C46" s="53">
        <v>9963</v>
      </c>
      <c r="D46" s="53">
        <v>11298</v>
      </c>
      <c r="E46" s="54">
        <f t="shared" si="6"/>
        <v>21261</v>
      </c>
      <c r="F46" s="55">
        <v>60235.53</v>
      </c>
      <c r="G46" s="56">
        <f t="shared" si="8"/>
        <v>72884.991299999994</v>
      </c>
      <c r="H46" s="57">
        <f t="shared" si="7"/>
        <v>3.4281073938196696</v>
      </c>
    </row>
    <row r="47" spans="1:8" x14ac:dyDescent="0.25">
      <c r="A47" s="51" t="s">
        <v>9</v>
      </c>
      <c r="B47" s="52">
        <v>0.1</v>
      </c>
      <c r="C47" s="53">
        <v>10890</v>
      </c>
      <c r="D47" s="53">
        <v>13185</v>
      </c>
      <c r="E47" s="54">
        <f t="shared" si="6"/>
        <v>24075</v>
      </c>
      <c r="F47" s="55">
        <v>64912.81</v>
      </c>
      <c r="G47" s="56">
        <f t="shared" si="8"/>
        <v>78544.50009999999</v>
      </c>
      <c r="H47" s="57">
        <f t="shared" si="7"/>
        <v>3.262492215991692</v>
      </c>
    </row>
    <row r="48" spans="1:8" ht="14.45" x14ac:dyDescent="0.35">
      <c r="A48" s="51" t="s">
        <v>10</v>
      </c>
      <c r="B48" s="52">
        <v>0.1</v>
      </c>
      <c r="C48" s="53">
        <v>10470</v>
      </c>
      <c r="D48" s="53">
        <v>13436</v>
      </c>
      <c r="E48" s="54">
        <f t="shared" si="6"/>
        <v>23906</v>
      </c>
      <c r="F48" s="55">
        <v>64473.03</v>
      </c>
      <c r="G48" s="56">
        <f t="shared" si="8"/>
        <v>78012.366299999994</v>
      </c>
      <c r="H48" s="57">
        <f t="shared" si="7"/>
        <v>3.2632965071530156</v>
      </c>
    </row>
    <row r="49" spans="1:8" thickBot="1" x14ac:dyDescent="0.4">
      <c r="A49" s="51" t="s">
        <v>11</v>
      </c>
      <c r="B49" s="52">
        <v>0.1</v>
      </c>
      <c r="C49" s="53">
        <v>10146</v>
      </c>
      <c r="D49" s="53">
        <v>12696</v>
      </c>
      <c r="E49" s="54">
        <f t="shared" si="6"/>
        <v>22842</v>
      </c>
      <c r="F49" s="55">
        <v>62717.41</v>
      </c>
      <c r="G49" s="56">
        <f t="shared" si="8"/>
        <v>75888.066099999996</v>
      </c>
      <c r="H49" s="57">
        <f t="shared" si="7"/>
        <v>3.3223039182208209</v>
      </c>
    </row>
    <row r="50" spans="1:8" thickBot="1" x14ac:dyDescent="0.4">
      <c r="A50" s="58"/>
      <c r="B50" s="58"/>
      <c r="C50" s="59">
        <f>SUBTOTAL(9,C38:C49)</f>
        <v>117098</v>
      </c>
      <c r="D50" s="59">
        <f>SUBTOTAL(9,D38:D49)</f>
        <v>135791</v>
      </c>
      <c r="E50" s="59">
        <f>C50+D50</f>
        <v>252889</v>
      </c>
      <c r="F50" s="59">
        <f>SUBTOTAL(9,F38:F49)</f>
        <v>755056.72000000009</v>
      </c>
      <c r="G50" s="60">
        <f>SUBTOTAL(9,G38:G49)</f>
        <v>913618.63119999995</v>
      </c>
      <c r="H50" s="61">
        <f t="shared" si="7"/>
        <v>3.6127258647074405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6"/>
  <sheetViews>
    <sheetView zoomScale="85" zoomScaleNormal="85" workbookViewId="0">
      <selection activeCell="L34" sqref="L34"/>
    </sheetView>
  </sheetViews>
  <sheetFormatPr defaultRowHeight="15" x14ac:dyDescent="0.25"/>
  <cols>
    <col min="1" max="1" width="12.42578125" customWidth="1"/>
    <col min="2" max="2" width="16.85546875" customWidth="1"/>
  </cols>
  <sheetData>
    <row r="2" spans="1:12" x14ac:dyDescent="0.25">
      <c r="A2" s="43" t="s">
        <v>38</v>
      </c>
    </row>
    <row r="3" spans="1:12" thickBot="1" x14ac:dyDescent="0.4">
      <c r="A3" s="63" t="s">
        <v>51</v>
      </c>
    </row>
    <row r="4" spans="1:12" ht="14.45" x14ac:dyDescent="0.35">
      <c r="A4" s="25"/>
      <c r="B4" s="26"/>
      <c r="C4" s="27"/>
      <c r="D4" s="27"/>
      <c r="E4" s="28"/>
      <c r="F4" s="28"/>
      <c r="G4" s="28"/>
      <c r="H4" s="28"/>
      <c r="I4" s="28"/>
      <c r="J4" s="28"/>
      <c r="K4" s="28"/>
      <c r="L4" s="29"/>
    </row>
    <row r="5" spans="1:12" ht="51.75" x14ac:dyDescent="0.25">
      <c r="A5" s="30" t="s">
        <v>28</v>
      </c>
      <c r="B5" s="31" t="s">
        <v>12</v>
      </c>
      <c r="C5" s="32" t="s">
        <v>18</v>
      </c>
      <c r="D5" s="32" t="s">
        <v>19</v>
      </c>
      <c r="E5" s="33" t="s">
        <v>20</v>
      </c>
      <c r="F5" s="33" t="s">
        <v>21</v>
      </c>
      <c r="G5" s="33" t="s">
        <v>22</v>
      </c>
      <c r="H5" s="33" t="s">
        <v>23</v>
      </c>
      <c r="I5" s="33" t="s">
        <v>24</v>
      </c>
      <c r="J5" s="33" t="s">
        <v>25</v>
      </c>
      <c r="K5" s="33" t="s">
        <v>26</v>
      </c>
      <c r="L5" s="34" t="s">
        <v>27</v>
      </c>
    </row>
    <row r="6" spans="1:12" x14ac:dyDescent="0.25">
      <c r="A6" s="69" t="s">
        <v>50</v>
      </c>
      <c r="B6" s="36" t="s">
        <v>52</v>
      </c>
      <c r="C6" s="35">
        <f>15+480</f>
        <v>495</v>
      </c>
      <c r="D6" s="35"/>
      <c r="E6" s="35">
        <v>38</v>
      </c>
      <c r="F6" s="35">
        <v>34.76</v>
      </c>
      <c r="G6" s="35"/>
      <c r="H6" s="39">
        <f>C6*E6</f>
        <v>18810</v>
      </c>
      <c r="I6" s="39">
        <f>C6*F6</f>
        <v>17206.2</v>
      </c>
      <c r="J6" s="39"/>
      <c r="K6" s="39">
        <f t="shared" ref="K6" si="0">H6+I6+J6</f>
        <v>36016.199999999997</v>
      </c>
      <c r="L6" s="40">
        <f t="shared" ref="L6" si="1">K6*1.15</f>
        <v>41418.62999999999</v>
      </c>
    </row>
    <row r="7" spans="1:12" x14ac:dyDescent="0.25">
      <c r="A7" s="69"/>
      <c r="B7" s="36" t="s">
        <v>53</v>
      </c>
      <c r="C7" s="37">
        <f>14+439</f>
        <v>453</v>
      </c>
      <c r="D7" s="37"/>
      <c r="E7" s="35">
        <v>38</v>
      </c>
      <c r="F7" s="35">
        <v>34.76</v>
      </c>
      <c r="G7" s="38"/>
      <c r="H7" s="39">
        <f t="shared" ref="H7:H18" si="2">C7*E7</f>
        <v>17214</v>
      </c>
      <c r="I7" s="39">
        <f t="shared" ref="I7:I18" si="3">C7*F7</f>
        <v>15746.279999999999</v>
      </c>
      <c r="J7" s="39"/>
      <c r="K7" s="39">
        <f t="shared" ref="K7:K18" si="4">H7+I7+J7</f>
        <v>32960.28</v>
      </c>
      <c r="L7" s="40">
        <f t="shared" ref="L7:L18" si="5">K7*1.15</f>
        <v>37904.321999999993</v>
      </c>
    </row>
    <row r="8" spans="1:12" x14ac:dyDescent="0.25">
      <c r="A8" s="69"/>
      <c r="B8" s="36" t="s">
        <v>54</v>
      </c>
      <c r="C8" s="37">
        <f>14+458</f>
        <v>472</v>
      </c>
      <c r="D8" s="37"/>
      <c r="E8" s="35">
        <v>38</v>
      </c>
      <c r="F8" s="35">
        <v>34.76</v>
      </c>
      <c r="G8" s="38"/>
      <c r="H8" s="39">
        <f t="shared" si="2"/>
        <v>17936</v>
      </c>
      <c r="I8" s="39">
        <f t="shared" si="3"/>
        <v>16406.719999999998</v>
      </c>
      <c r="J8" s="39"/>
      <c r="K8" s="39">
        <f t="shared" si="4"/>
        <v>34342.720000000001</v>
      </c>
      <c r="L8" s="40">
        <f t="shared" si="5"/>
        <v>39494.127999999997</v>
      </c>
    </row>
    <row r="9" spans="1:12" x14ac:dyDescent="0.25">
      <c r="A9" s="69"/>
      <c r="B9" s="36" t="s">
        <v>55</v>
      </c>
      <c r="C9" s="37">
        <f>12+395</f>
        <v>407</v>
      </c>
      <c r="D9" s="37"/>
      <c r="E9" s="35">
        <v>38</v>
      </c>
      <c r="F9" s="35">
        <v>34.76</v>
      </c>
      <c r="G9" s="38"/>
      <c r="H9" s="39">
        <f t="shared" si="2"/>
        <v>15466</v>
      </c>
      <c r="I9" s="39">
        <f t="shared" si="3"/>
        <v>14147.32</v>
      </c>
      <c r="J9" s="39"/>
      <c r="K9" s="39">
        <f t="shared" si="4"/>
        <v>29613.32</v>
      </c>
      <c r="L9" s="40">
        <f t="shared" si="5"/>
        <v>34055.317999999999</v>
      </c>
    </row>
    <row r="10" spans="1:12" x14ac:dyDescent="0.25">
      <c r="A10" s="69"/>
      <c r="B10" s="36" t="s">
        <v>56</v>
      </c>
      <c r="C10" s="37">
        <f>19+599</f>
        <v>618</v>
      </c>
      <c r="D10" s="37"/>
      <c r="E10" s="35">
        <v>38</v>
      </c>
      <c r="F10" s="35">
        <v>34.76</v>
      </c>
      <c r="G10" s="38"/>
      <c r="H10" s="39">
        <f t="shared" si="2"/>
        <v>23484</v>
      </c>
      <c r="I10" s="39">
        <f t="shared" si="3"/>
        <v>21481.68</v>
      </c>
      <c r="J10" s="39"/>
      <c r="K10" s="39">
        <f t="shared" si="4"/>
        <v>44965.68</v>
      </c>
      <c r="L10" s="40">
        <f t="shared" si="5"/>
        <v>51710.531999999999</v>
      </c>
    </row>
    <row r="11" spans="1:12" x14ac:dyDescent="0.25">
      <c r="A11" s="69"/>
      <c r="B11" s="36" t="s">
        <v>57</v>
      </c>
      <c r="C11" s="37">
        <f>18+566</f>
        <v>584</v>
      </c>
      <c r="D11" s="37"/>
      <c r="E11" s="35">
        <v>38</v>
      </c>
      <c r="F11" s="35">
        <v>34.76</v>
      </c>
      <c r="G11" s="38"/>
      <c r="H11" s="39">
        <f t="shared" si="2"/>
        <v>22192</v>
      </c>
      <c r="I11" s="39">
        <f t="shared" si="3"/>
        <v>20299.84</v>
      </c>
      <c r="J11" s="39"/>
      <c r="K11" s="39">
        <f t="shared" si="4"/>
        <v>42491.839999999997</v>
      </c>
      <c r="L11" s="40">
        <f t="shared" si="5"/>
        <v>48865.615999999995</v>
      </c>
    </row>
    <row r="12" spans="1:12" x14ac:dyDescent="0.25">
      <c r="A12" s="69"/>
      <c r="B12" s="36" t="s">
        <v>58</v>
      </c>
      <c r="C12" s="37">
        <f>15+485</f>
        <v>500</v>
      </c>
      <c r="D12" s="37"/>
      <c r="E12" s="35">
        <v>38</v>
      </c>
      <c r="F12" s="35">
        <v>34.76</v>
      </c>
      <c r="G12" s="38"/>
      <c r="H12" s="39">
        <f t="shared" si="2"/>
        <v>19000</v>
      </c>
      <c r="I12" s="39">
        <f t="shared" si="3"/>
        <v>17380</v>
      </c>
      <c r="J12" s="39"/>
      <c r="K12" s="39">
        <f t="shared" si="4"/>
        <v>36380</v>
      </c>
      <c r="L12" s="40">
        <f t="shared" si="5"/>
        <v>41837</v>
      </c>
    </row>
    <row r="13" spans="1:12" x14ac:dyDescent="0.25">
      <c r="A13" s="69"/>
      <c r="B13" s="36" t="s">
        <v>59</v>
      </c>
      <c r="C13" s="37">
        <f>16+520</f>
        <v>536</v>
      </c>
      <c r="D13" s="37"/>
      <c r="E13" s="35">
        <v>38</v>
      </c>
      <c r="F13" s="35">
        <v>34.76</v>
      </c>
      <c r="G13" s="38"/>
      <c r="H13" s="39">
        <f t="shared" si="2"/>
        <v>20368</v>
      </c>
      <c r="I13" s="39">
        <f t="shared" si="3"/>
        <v>18631.36</v>
      </c>
      <c r="J13" s="39"/>
      <c r="K13" s="39">
        <f t="shared" si="4"/>
        <v>38999.360000000001</v>
      </c>
      <c r="L13" s="40">
        <f t="shared" si="5"/>
        <v>44849.263999999996</v>
      </c>
    </row>
    <row r="14" spans="1:12" x14ac:dyDescent="0.25">
      <c r="A14" s="69"/>
      <c r="B14" s="36" t="s">
        <v>60</v>
      </c>
      <c r="C14" s="37">
        <f>14+469</f>
        <v>483</v>
      </c>
      <c r="D14" s="37"/>
      <c r="E14" s="35">
        <v>38</v>
      </c>
      <c r="F14" s="35">
        <v>34.76</v>
      </c>
      <c r="G14" s="38"/>
      <c r="H14" s="39">
        <f t="shared" si="2"/>
        <v>18354</v>
      </c>
      <c r="I14" s="39">
        <f t="shared" si="3"/>
        <v>16789.079999999998</v>
      </c>
      <c r="J14" s="39"/>
      <c r="K14" s="39">
        <f t="shared" si="4"/>
        <v>35143.08</v>
      </c>
      <c r="L14" s="40">
        <f t="shared" si="5"/>
        <v>40414.542000000001</v>
      </c>
    </row>
    <row r="15" spans="1:12" x14ac:dyDescent="0.25">
      <c r="A15" s="69"/>
      <c r="B15" s="36" t="s">
        <v>61</v>
      </c>
      <c r="C15" s="37">
        <f>10+310</f>
        <v>320</v>
      </c>
      <c r="D15" s="37"/>
      <c r="E15" s="35">
        <v>38</v>
      </c>
      <c r="F15" s="35">
        <v>34.76</v>
      </c>
      <c r="G15" s="38"/>
      <c r="H15" s="39">
        <f t="shared" si="2"/>
        <v>12160</v>
      </c>
      <c r="I15" s="39">
        <f t="shared" si="3"/>
        <v>11123.199999999999</v>
      </c>
      <c r="J15" s="39"/>
      <c r="K15" s="39">
        <f t="shared" si="4"/>
        <v>23283.199999999997</v>
      </c>
      <c r="L15" s="40">
        <f t="shared" si="5"/>
        <v>26775.679999999993</v>
      </c>
    </row>
    <row r="16" spans="1:12" x14ac:dyDescent="0.25">
      <c r="A16" s="69"/>
      <c r="B16" s="36" t="s">
        <v>62</v>
      </c>
      <c r="C16" s="37">
        <f>19+618</f>
        <v>637</v>
      </c>
      <c r="D16" s="37"/>
      <c r="E16" s="35">
        <v>38</v>
      </c>
      <c r="F16" s="35">
        <v>34.76</v>
      </c>
      <c r="G16" s="38"/>
      <c r="H16" s="39">
        <f t="shared" ref="H16:H17" si="6">C16*E16</f>
        <v>24206</v>
      </c>
      <c r="I16" s="39">
        <f t="shared" ref="I16:I17" si="7">C16*F16</f>
        <v>22142.12</v>
      </c>
      <c r="J16" s="39"/>
      <c r="K16" s="39">
        <f t="shared" ref="K16:K17" si="8">H16+I16+J16</f>
        <v>46348.119999999995</v>
      </c>
      <c r="L16" s="40">
        <f t="shared" ref="L16:L17" si="9">K16*1.15</f>
        <v>53300.337999999989</v>
      </c>
    </row>
    <row r="17" spans="1:12" x14ac:dyDescent="0.25">
      <c r="A17" s="69"/>
      <c r="B17" s="36" t="s">
        <v>63</v>
      </c>
      <c r="C17" s="37">
        <f>14+465</f>
        <v>479</v>
      </c>
      <c r="D17" s="37"/>
      <c r="E17" s="35">
        <v>38</v>
      </c>
      <c r="F17" s="35">
        <v>34.76</v>
      </c>
      <c r="G17" s="38"/>
      <c r="H17" s="39">
        <f t="shared" si="6"/>
        <v>18202</v>
      </c>
      <c r="I17" s="39">
        <f t="shared" si="7"/>
        <v>16650.039999999997</v>
      </c>
      <c r="J17" s="39"/>
      <c r="K17" s="39">
        <f t="shared" si="8"/>
        <v>34852.039999999994</v>
      </c>
      <c r="L17" s="40">
        <f t="shared" si="9"/>
        <v>40079.84599999999</v>
      </c>
    </row>
    <row r="18" spans="1:12" x14ac:dyDescent="0.25">
      <c r="A18" s="69"/>
      <c r="B18" s="36" t="s">
        <v>64</v>
      </c>
      <c r="C18" s="37">
        <f>28+1</f>
        <v>29</v>
      </c>
      <c r="D18" s="37"/>
      <c r="E18" s="35">
        <v>38</v>
      </c>
      <c r="F18" s="35">
        <v>34.76</v>
      </c>
      <c r="G18" s="38"/>
      <c r="H18" s="39">
        <f t="shared" si="2"/>
        <v>1102</v>
      </c>
      <c r="I18" s="39">
        <f t="shared" si="3"/>
        <v>1008.04</v>
      </c>
      <c r="J18" s="39"/>
      <c r="K18" s="39">
        <f t="shared" si="4"/>
        <v>2110.04</v>
      </c>
      <c r="L18" s="40">
        <f t="shared" si="5"/>
        <v>2426.5459999999998</v>
      </c>
    </row>
    <row r="19" spans="1:12" ht="15.75" thickBot="1" x14ac:dyDescent="0.3">
      <c r="A19" s="70"/>
      <c r="B19" s="41" t="s">
        <v>41</v>
      </c>
      <c r="C19" s="42">
        <f>SUM(C6:C18)</f>
        <v>6013</v>
      </c>
      <c r="D19" s="42"/>
      <c r="E19" s="42"/>
      <c r="F19" s="42"/>
      <c r="G19" s="42"/>
      <c r="H19" s="42">
        <f>SUM(H6:H18)</f>
        <v>228494</v>
      </c>
      <c r="I19" s="42">
        <f>SUM(I6:I18)</f>
        <v>209011.88</v>
      </c>
      <c r="J19" s="42">
        <f>SUM(J6:J18)</f>
        <v>0</v>
      </c>
      <c r="K19" s="42">
        <f>SUM(K6:K18)</f>
        <v>437505.87999999995</v>
      </c>
      <c r="L19" s="42">
        <f>SUM(L6:L18)</f>
        <v>503131.76199999987</v>
      </c>
    </row>
    <row r="22" spans="1:12" x14ac:dyDescent="0.25">
      <c r="A22" s="43" t="s">
        <v>39</v>
      </c>
    </row>
    <row r="23" spans="1:12" thickBot="1" x14ac:dyDescent="0.4">
      <c r="A23" s="63" t="s">
        <v>51</v>
      </c>
    </row>
    <row r="24" spans="1:12" ht="14.45" x14ac:dyDescent="0.35">
      <c r="A24" s="25"/>
      <c r="B24" s="26"/>
      <c r="C24" s="27"/>
      <c r="D24" s="27"/>
      <c r="E24" s="28"/>
      <c r="F24" s="28"/>
      <c r="G24" s="28"/>
      <c r="H24" s="28"/>
      <c r="I24" s="28"/>
      <c r="J24" s="28"/>
      <c r="K24" s="28"/>
      <c r="L24" s="29"/>
    </row>
    <row r="25" spans="1:12" ht="51.75" x14ac:dyDescent="0.25">
      <c r="A25" s="30" t="s">
        <v>28</v>
      </c>
      <c r="B25" s="31" t="s">
        <v>12</v>
      </c>
      <c r="C25" s="32" t="s">
        <v>18</v>
      </c>
      <c r="D25" s="32" t="s">
        <v>19</v>
      </c>
      <c r="E25" s="33" t="s">
        <v>20</v>
      </c>
      <c r="F25" s="33" t="s">
        <v>21</v>
      </c>
      <c r="G25" s="33" t="s">
        <v>22</v>
      </c>
      <c r="H25" s="33" t="s">
        <v>23</v>
      </c>
      <c r="I25" s="33" t="s">
        <v>24</v>
      </c>
      <c r="J25" s="33" t="s">
        <v>25</v>
      </c>
      <c r="K25" s="33" t="s">
        <v>26</v>
      </c>
      <c r="L25" s="34" t="s">
        <v>27</v>
      </c>
    </row>
    <row r="26" spans="1:12" x14ac:dyDescent="0.25">
      <c r="A26" s="69" t="s">
        <v>50</v>
      </c>
      <c r="B26" s="36" t="s">
        <v>65</v>
      </c>
      <c r="C26" s="35">
        <f>13+434</f>
        <v>447</v>
      </c>
      <c r="D26" s="35"/>
      <c r="E26" s="35">
        <v>38.51</v>
      </c>
      <c r="F26" s="35">
        <v>34.76</v>
      </c>
      <c r="G26" s="35"/>
      <c r="H26" s="39">
        <f>C26*E26</f>
        <v>17213.969999999998</v>
      </c>
      <c r="I26" s="39">
        <f>C26*F26</f>
        <v>15537.72</v>
      </c>
      <c r="J26" s="39"/>
      <c r="K26" s="39">
        <f t="shared" ref="K26:K37" si="10">H26+I26+J26</f>
        <v>32751.689999999995</v>
      </c>
      <c r="L26" s="40">
        <f t="shared" ref="L26:L37" si="11">K26*1.15</f>
        <v>37664.443499999994</v>
      </c>
    </row>
    <row r="27" spans="1:12" x14ac:dyDescent="0.25">
      <c r="A27" s="69"/>
      <c r="B27" s="36" t="s">
        <v>66</v>
      </c>
      <c r="C27" s="37">
        <f>13+418</f>
        <v>431</v>
      </c>
      <c r="D27" s="37"/>
      <c r="E27" s="35">
        <v>38.51</v>
      </c>
      <c r="F27" s="35">
        <v>34.76</v>
      </c>
      <c r="G27" s="38"/>
      <c r="H27" s="39">
        <f t="shared" ref="H27:H37" si="12">C27*E27</f>
        <v>16597.809999999998</v>
      </c>
      <c r="I27" s="39">
        <f t="shared" ref="I27:I37" si="13">C27*F27</f>
        <v>14981.56</v>
      </c>
      <c r="J27" s="39"/>
      <c r="K27" s="39">
        <f t="shared" si="10"/>
        <v>31579.369999999995</v>
      </c>
      <c r="L27" s="40">
        <f t="shared" si="11"/>
        <v>36316.275499999989</v>
      </c>
    </row>
    <row r="28" spans="1:12" x14ac:dyDescent="0.25">
      <c r="A28" s="69"/>
      <c r="B28" s="36" t="s">
        <v>67</v>
      </c>
      <c r="C28" s="37">
        <f>18+569</f>
        <v>587</v>
      </c>
      <c r="D28" s="37"/>
      <c r="E28" s="35">
        <v>38.51</v>
      </c>
      <c r="F28" s="35">
        <v>34.76</v>
      </c>
      <c r="G28" s="38"/>
      <c r="H28" s="39">
        <f t="shared" si="12"/>
        <v>22605.37</v>
      </c>
      <c r="I28" s="39">
        <f t="shared" si="13"/>
        <v>20404.12</v>
      </c>
      <c r="J28" s="39"/>
      <c r="K28" s="39">
        <f t="shared" si="10"/>
        <v>43009.49</v>
      </c>
      <c r="L28" s="40">
        <f t="shared" si="11"/>
        <v>49460.913499999995</v>
      </c>
    </row>
    <row r="29" spans="1:12" x14ac:dyDescent="0.25">
      <c r="A29" s="69"/>
      <c r="B29" s="36" t="s">
        <v>68</v>
      </c>
      <c r="C29" s="37">
        <f>13+413</f>
        <v>426</v>
      </c>
      <c r="D29" s="37"/>
      <c r="E29" s="35">
        <v>38.51</v>
      </c>
      <c r="F29" s="35">
        <v>34.76</v>
      </c>
      <c r="G29" s="38"/>
      <c r="H29" s="39">
        <f t="shared" si="12"/>
        <v>16405.259999999998</v>
      </c>
      <c r="I29" s="39">
        <f t="shared" si="13"/>
        <v>14807.759999999998</v>
      </c>
      <c r="J29" s="39"/>
      <c r="K29" s="39">
        <f t="shared" si="10"/>
        <v>31213.019999999997</v>
      </c>
      <c r="L29" s="40">
        <f t="shared" si="11"/>
        <v>35894.972999999991</v>
      </c>
    </row>
    <row r="30" spans="1:12" x14ac:dyDescent="0.25">
      <c r="A30" s="69"/>
      <c r="B30" s="36" t="s">
        <v>69</v>
      </c>
      <c r="C30" s="37">
        <f>14+459</f>
        <v>473</v>
      </c>
      <c r="D30" s="37"/>
      <c r="E30" s="35">
        <v>38.51</v>
      </c>
      <c r="F30" s="35">
        <v>34.76</v>
      </c>
      <c r="G30" s="38"/>
      <c r="H30" s="39">
        <f t="shared" si="12"/>
        <v>18215.23</v>
      </c>
      <c r="I30" s="39">
        <f t="shared" si="13"/>
        <v>16441.48</v>
      </c>
      <c r="J30" s="39"/>
      <c r="K30" s="39">
        <f t="shared" si="10"/>
        <v>34656.71</v>
      </c>
      <c r="L30" s="40">
        <f t="shared" si="11"/>
        <v>39855.216499999995</v>
      </c>
    </row>
    <row r="31" spans="1:12" x14ac:dyDescent="0.25">
      <c r="A31" s="69"/>
      <c r="B31" s="36" t="s">
        <v>70</v>
      </c>
      <c r="C31" s="37">
        <f>14+468</f>
        <v>482</v>
      </c>
      <c r="D31" s="37"/>
      <c r="E31" s="35">
        <v>38.51</v>
      </c>
      <c r="F31" s="35">
        <v>34.76</v>
      </c>
      <c r="G31" s="38"/>
      <c r="H31" s="39">
        <f t="shared" si="12"/>
        <v>18561.82</v>
      </c>
      <c r="I31" s="39">
        <f t="shared" si="13"/>
        <v>16754.32</v>
      </c>
      <c r="J31" s="39"/>
      <c r="K31" s="39">
        <f t="shared" si="10"/>
        <v>35316.14</v>
      </c>
      <c r="L31" s="40">
        <f t="shared" si="11"/>
        <v>40613.560999999994</v>
      </c>
    </row>
    <row r="32" spans="1:12" x14ac:dyDescent="0.25">
      <c r="A32" s="69"/>
      <c r="B32" s="36" t="s">
        <v>71</v>
      </c>
      <c r="C32" s="37">
        <f>14+439</f>
        <v>453</v>
      </c>
      <c r="D32" s="37"/>
      <c r="E32" s="35">
        <v>38.51</v>
      </c>
      <c r="F32" s="35">
        <v>34.76</v>
      </c>
      <c r="G32" s="38"/>
      <c r="H32" s="39">
        <f t="shared" si="12"/>
        <v>17445.03</v>
      </c>
      <c r="I32" s="39">
        <f t="shared" si="13"/>
        <v>15746.279999999999</v>
      </c>
      <c r="J32" s="39"/>
      <c r="K32" s="39">
        <f t="shared" si="10"/>
        <v>33191.31</v>
      </c>
      <c r="L32" s="40">
        <f t="shared" si="11"/>
        <v>38170.006499999996</v>
      </c>
    </row>
    <row r="33" spans="1:12" x14ac:dyDescent="0.25">
      <c r="A33" s="69"/>
      <c r="B33" s="36" t="s">
        <v>72</v>
      </c>
      <c r="C33" s="37">
        <f>16+517</f>
        <v>533</v>
      </c>
      <c r="D33" s="37"/>
      <c r="E33" s="35">
        <v>38.51</v>
      </c>
      <c r="F33" s="35">
        <v>34.76</v>
      </c>
      <c r="G33" s="38"/>
      <c r="H33" s="39">
        <f t="shared" si="12"/>
        <v>20525.829999999998</v>
      </c>
      <c r="I33" s="39">
        <f t="shared" si="13"/>
        <v>18527.079999999998</v>
      </c>
      <c r="J33" s="39"/>
      <c r="K33" s="39">
        <f t="shared" si="10"/>
        <v>39052.909999999996</v>
      </c>
      <c r="L33" s="40">
        <f t="shared" si="11"/>
        <v>44910.846499999992</v>
      </c>
    </row>
    <row r="34" spans="1:12" x14ac:dyDescent="0.25">
      <c r="A34" s="69"/>
      <c r="B34" s="36" t="s">
        <v>73</v>
      </c>
      <c r="C34" s="37">
        <f>16+503</f>
        <v>519</v>
      </c>
      <c r="D34" s="37"/>
      <c r="E34" s="35">
        <v>38.51</v>
      </c>
      <c r="F34" s="35">
        <v>34.76</v>
      </c>
      <c r="G34" s="38"/>
      <c r="H34" s="39">
        <f t="shared" si="12"/>
        <v>19986.689999999999</v>
      </c>
      <c r="I34" s="39">
        <f t="shared" si="13"/>
        <v>18040.439999999999</v>
      </c>
      <c r="J34" s="39"/>
      <c r="K34" s="39">
        <f t="shared" si="10"/>
        <v>38027.129999999997</v>
      </c>
      <c r="L34" s="40">
        <f t="shared" si="11"/>
        <v>43731.199499999995</v>
      </c>
    </row>
    <row r="35" spans="1:12" x14ac:dyDescent="0.25">
      <c r="A35" s="69"/>
      <c r="B35" s="36" t="s">
        <v>74</v>
      </c>
      <c r="C35" s="37">
        <f>17+562</f>
        <v>579</v>
      </c>
      <c r="D35" s="37"/>
      <c r="E35" s="35">
        <v>38.51</v>
      </c>
      <c r="F35" s="35">
        <v>34.76</v>
      </c>
      <c r="G35" s="38"/>
      <c r="H35" s="39">
        <f t="shared" si="12"/>
        <v>22297.289999999997</v>
      </c>
      <c r="I35" s="39">
        <f t="shared" si="13"/>
        <v>20126.039999999997</v>
      </c>
      <c r="J35" s="39"/>
      <c r="K35" s="39">
        <f t="shared" si="10"/>
        <v>42423.329999999994</v>
      </c>
      <c r="L35" s="40">
        <f t="shared" si="11"/>
        <v>48786.829499999993</v>
      </c>
    </row>
    <row r="36" spans="1:12" x14ac:dyDescent="0.25">
      <c r="A36" s="69"/>
      <c r="B36" s="36" t="s">
        <v>75</v>
      </c>
      <c r="C36" s="37">
        <f>22+717</f>
        <v>739</v>
      </c>
      <c r="D36" s="37"/>
      <c r="E36" s="35">
        <v>38.51</v>
      </c>
      <c r="F36" s="35">
        <v>34.76</v>
      </c>
      <c r="G36" s="38"/>
      <c r="H36" s="39">
        <f t="shared" si="12"/>
        <v>28458.89</v>
      </c>
      <c r="I36" s="39">
        <f t="shared" si="13"/>
        <v>25687.64</v>
      </c>
      <c r="J36" s="39"/>
      <c r="K36" s="39">
        <f t="shared" si="10"/>
        <v>54146.53</v>
      </c>
      <c r="L36" s="40">
        <f t="shared" si="11"/>
        <v>62268.509499999993</v>
      </c>
    </row>
    <row r="37" spans="1:12" x14ac:dyDescent="0.25">
      <c r="A37" s="69"/>
      <c r="B37" s="36" t="s">
        <v>76</v>
      </c>
      <c r="C37" s="37">
        <f>15+477</f>
        <v>492</v>
      </c>
      <c r="D37" s="37"/>
      <c r="E37" s="35">
        <v>38.51</v>
      </c>
      <c r="F37" s="35">
        <v>34.76</v>
      </c>
      <c r="G37" s="38"/>
      <c r="H37" s="39">
        <f t="shared" si="12"/>
        <v>18946.919999999998</v>
      </c>
      <c r="I37" s="39">
        <f t="shared" si="13"/>
        <v>17101.919999999998</v>
      </c>
      <c r="J37" s="39"/>
      <c r="K37" s="39">
        <f t="shared" si="10"/>
        <v>36048.839999999997</v>
      </c>
      <c r="L37" s="40">
        <f t="shared" si="11"/>
        <v>41456.16599999999</v>
      </c>
    </row>
    <row r="38" spans="1:12" ht="15.75" thickBot="1" x14ac:dyDescent="0.3">
      <c r="A38" s="70"/>
      <c r="B38" s="41" t="s">
        <v>40</v>
      </c>
      <c r="C38" s="42">
        <f>SUM(C26:C37)</f>
        <v>6161</v>
      </c>
      <c r="D38" s="42"/>
      <c r="E38" s="42"/>
      <c r="F38" s="42"/>
      <c r="G38" s="42"/>
      <c r="H38" s="42">
        <f>SUM(H26:H37)</f>
        <v>237260.11</v>
      </c>
      <c r="I38" s="42">
        <f>SUM(I26:I37)</f>
        <v>214156.36</v>
      </c>
      <c r="J38" s="42">
        <f>SUM(J27:J37)</f>
        <v>0</v>
      </c>
      <c r="K38" s="42">
        <f>SUM(K26:K37)</f>
        <v>451416.47</v>
      </c>
      <c r="L38" s="42">
        <f>SUM(L26:L37)</f>
        <v>519128.94049999991</v>
      </c>
    </row>
    <row r="41" spans="1:12" x14ac:dyDescent="0.25">
      <c r="A41" s="43" t="s">
        <v>87</v>
      </c>
    </row>
    <row r="42" spans="1:12" thickBot="1" x14ac:dyDescent="0.4">
      <c r="A42" s="63" t="s">
        <v>51</v>
      </c>
    </row>
    <row r="43" spans="1:12" ht="14.45" x14ac:dyDescent="0.35">
      <c r="A43" s="25"/>
      <c r="B43" s="26"/>
      <c r="C43" s="27"/>
      <c r="D43" s="27"/>
      <c r="E43" s="28"/>
      <c r="F43" s="28"/>
      <c r="G43" s="28"/>
      <c r="H43" s="28"/>
      <c r="I43" s="28"/>
      <c r="J43" s="28"/>
      <c r="K43" s="28"/>
      <c r="L43" s="29"/>
    </row>
    <row r="44" spans="1:12" ht="51.75" x14ac:dyDescent="0.25">
      <c r="A44" s="30" t="s">
        <v>28</v>
      </c>
      <c r="B44" s="31" t="s">
        <v>12</v>
      </c>
      <c r="C44" s="32" t="s">
        <v>18</v>
      </c>
      <c r="D44" s="32" t="s">
        <v>19</v>
      </c>
      <c r="E44" s="33" t="s">
        <v>20</v>
      </c>
      <c r="F44" s="33" t="s">
        <v>21</v>
      </c>
      <c r="G44" s="33" t="s">
        <v>22</v>
      </c>
      <c r="H44" s="33" t="s">
        <v>23</v>
      </c>
      <c r="I44" s="33" t="s">
        <v>24</v>
      </c>
      <c r="J44" s="33" t="s">
        <v>25</v>
      </c>
      <c r="K44" s="33" t="s">
        <v>26</v>
      </c>
      <c r="L44" s="34" t="s">
        <v>27</v>
      </c>
    </row>
    <row r="45" spans="1:12" x14ac:dyDescent="0.25">
      <c r="A45" s="69" t="s">
        <v>50</v>
      </c>
      <c r="B45" s="36" t="s">
        <v>52</v>
      </c>
      <c r="C45" s="35">
        <f>14+458</f>
        <v>472</v>
      </c>
      <c r="D45" s="35"/>
      <c r="E45" s="35">
        <v>40.04</v>
      </c>
      <c r="F45" s="35">
        <v>36.18</v>
      </c>
      <c r="G45" s="35"/>
      <c r="H45" s="39">
        <f>C45*E45</f>
        <v>18898.88</v>
      </c>
      <c r="I45" s="39">
        <f>C45*F45</f>
        <v>17076.96</v>
      </c>
      <c r="J45" s="39"/>
      <c r="K45" s="39">
        <f t="shared" ref="K45:K55" si="14">H45+I45+J45</f>
        <v>35975.839999999997</v>
      </c>
      <c r="L45" s="40">
        <f t="shared" ref="L45:L47" si="15">K45*1.15</f>
        <v>41372.215999999993</v>
      </c>
    </row>
    <row r="46" spans="1:12" x14ac:dyDescent="0.25">
      <c r="A46" s="69"/>
      <c r="B46" s="36" t="s">
        <v>77</v>
      </c>
      <c r="C46" s="37">
        <f>13+421</f>
        <v>434</v>
      </c>
      <c r="D46" s="37"/>
      <c r="E46" s="35">
        <v>40.04</v>
      </c>
      <c r="F46" s="35">
        <v>36.18</v>
      </c>
      <c r="G46" s="38"/>
      <c r="H46" s="39">
        <f t="shared" ref="H46:H55" si="16">C46*E46</f>
        <v>17377.36</v>
      </c>
      <c r="I46" s="39">
        <f t="shared" ref="I46:I55" si="17">C46*F46</f>
        <v>15702.119999999999</v>
      </c>
      <c r="J46" s="39"/>
      <c r="K46" s="39">
        <f t="shared" si="14"/>
        <v>33079.479999999996</v>
      </c>
      <c r="L46" s="40">
        <f t="shared" si="15"/>
        <v>38041.401999999995</v>
      </c>
    </row>
    <row r="47" spans="1:12" x14ac:dyDescent="0.25">
      <c r="A47" s="69"/>
      <c r="B47" s="36" t="s">
        <v>78</v>
      </c>
      <c r="C47" s="37">
        <f>11+351</f>
        <v>362</v>
      </c>
      <c r="D47" s="37"/>
      <c r="E47" s="35">
        <v>40.04</v>
      </c>
      <c r="F47" s="35">
        <v>36.18</v>
      </c>
      <c r="G47" s="38"/>
      <c r="H47" s="39">
        <f t="shared" si="16"/>
        <v>14494.48</v>
      </c>
      <c r="I47" s="39">
        <f t="shared" si="17"/>
        <v>13097.16</v>
      </c>
      <c r="J47" s="39"/>
      <c r="K47" s="39">
        <f t="shared" si="14"/>
        <v>27591.64</v>
      </c>
      <c r="L47" s="40">
        <f t="shared" si="15"/>
        <v>31730.385999999999</v>
      </c>
    </row>
    <row r="48" spans="1:12" x14ac:dyDescent="0.25">
      <c r="A48" s="69"/>
      <c r="B48" s="36" t="s">
        <v>79</v>
      </c>
      <c r="C48" s="37">
        <f>45+1447</f>
        <v>1492</v>
      </c>
      <c r="D48" s="37"/>
      <c r="E48" s="35">
        <v>40.04</v>
      </c>
      <c r="F48" s="35">
        <v>36.18</v>
      </c>
      <c r="G48" s="38"/>
      <c r="H48" s="39">
        <f t="shared" si="16"/>
        <v>59739.68</v>
      </c>
      <c r="I48" s="39">
        <f t="shared" si="17"/>
        <v>53980.56</v>
      </c>
      <c r="J48" s="39"/>
      <c r="K48" s="39">
        <f>H48+I48+J48</f>
        <v>113720.23999999999</v>
      </c>
      <c r="L48" s="40">
        <f>K48*1.1</f>
        <v>125092.264</v>
      </c>
    </row>
    <row r="49" spans="1:12" x14ac:dyDescent="0.25">
      <c r="A49" s="69"/>
      <c r="B49" s="36" t="s">
        <v>80</v>
      </c>
      <c r="C49" s="37">
        <f>14+465</f>
        <v>479</v>
      </c>
      <c r="D49" s="37"/>
      <c r="E49" s="35">
        <v>40.04</v>
      </c>
      <c r="F49" s="35">
        <v>36.18</v>
      </c>
      <c r="G49" s="38"/>
      <c r="H49" s="39">
        <f t="shared" si="16"/>
        <v>19179.16</v>
      </c>
      <c r="I49" s="39">
        <f t="shared" si="17"/>
        <v>17330.22</v>
      </c>
      <c r="J49" s="39"/>
      <c r="K49" s="39">
        <f t="shared" si="14"/>
        <v>36509.380000000005</v>
      </c>
      <c r="L49" s="40">
        <f t="shared" ref="L49:L55" si="18">K49*1.1</f>
        <v>40160.318000000007</v>
      </c>
    </row>
    <row r="50" spans="1:12" x14ac:dyDescent="0.25">
      <c r="A50" s="69"/>
      <c r="B50" s="36" t="s">
        <v>81</v>
      </c>
      <c r="C50" s="37">
        <f>15+476</f>
        <v>491</v>
      </c>
      <c r="D50" s="37"/>
      <c r="E50" s="35">
        <v>40.04</v>
      </c>
      <c r="F50" s="35">
        <v>36.18</v>
      </c>
      <c r="G50" s="38"/>
      <c r="H50" s="39">
        <f t="shared" si="16"/>
        <v>19659.64</v>
      </c>
      <c r="I50" s="39">
        <f t="shared" si="17"/>
        <v>17764.38</v>
      </c>
      <c r="J50" s="39"/>
      <c r="K50" s="39">
        <f t="shared" si="14"/>
        <v>37424.020000000004</v>
      </c>
      <c r="L50" s="40">
        <f t="shared" si="18"/>
        <v>41166.422000000006</v>
      </c>
    </row>
    <row r="51" spans="1:12" x14ac:dyDescent="0.25">
      <c r="A51" s="69"/>
      <c r="B51" s="36" t="s">
        <v>82</v>
      </c>
      <c r="C51" s="37">
        <f>14+465</f>
        <v>479</v>
      </c>
      <c r="D51" s="37"/>
      <c r="E51" s="35">
        <v>40.04</v>
      </c>
      <c r="F51" s="35">
        <v>36.18</v>
      </c>
      <c r="G51" s="38"/>
      <c r="H51" s="39">
        <f t="shared" si="16"/>
        <v>19179.16</v>
      </c>
      <c r="I51" s="39">
        <f t="shared" si="17"/>
        <v>17330.22</v>
      </c>
      <c r="J51" s="39"/>
      <c r="K51" s="39">
        <f t="shared" si="14"/>
        <v>36509.380000000005</v>
      </c>
      <c r="L51" s="40">
        <f t="shared" si="18"/>
        <v>40160.318000000007</v>
      </c>
    </row>
    <row r="52" spans="1:12" x14ac:dyDescent="0.25">
      <c r="A52" s="69"/>
      <c r="B52" s="36" t="s">
        <v>83</v>
      </c>
      <c r="C52" s="37">
        <f>22+700</f>
        <v>722</v>
      </c>
      <c r="D52" s="37"/>
      <c r="E52" s="35">
        <v>40.04</v>
      </c>
      <c r="F52" s="35">
        <v>36.18</v>
      </c>
      <c r="G52" s="38"/>
      <c r="H52" s="39">
        <f t="shared" si="16"/>
        <v>28908.880000000001</v>
      </c>
      <c r="I52" s="39">
        <f t="shared" si="17"/>
        <v>26121.96</v>
      </c>
      <c r="J52" s="39"/>
      <c r="K52" s="39">
        <f t="shared" si="14"/>
        <v>55030.84</v>
      </c>
      <c r="L52" s="40">
        <f t="shared" si="18"/>
        <v>60533.923999999999</v>
      </c>
    </row>
    <row r="53" spans="1:12" x14ac:dyDescent="0.25">
      <c r="A53" s="69"/>
      <c r="B53" s="36" t="s">
        <v>84</v>
      </c>
      <c r="C53" s="37">
        <f>14+459</f>
        <v>473</v>
      </c>
      <c r="D53" s="37"/>
      <c r="E53" s="35">
        <v>40.04</v>
      </c>
      <c r="F53" s="35">
        <v>36.18</v>
      </c>
      <c r="G53" s="38"/>
      <c r="H53" s="39">
        <f t="shared" si="16"/>
        <v>18938.919999999998</v>
      </c>
      <c r="I53" s="39">
        <f t="shared" si="17"/>
        <v>17113.14</v>
      </c>
      <c r="J53" s="39"/>
      <c r="K53" s="39">
        <f t="shared" si="14"/>
        <v>36052.06</v>
      </c>
      <c r="L53" s="40">
        <f t="shared" si="18"/>
        <v>39657.266000000003</v>
      </c>
    </row>
    <row r="54" spans="1:12" x14ac:dyDescent="0.25">
      <c r="A54" s="69"/>
      <c r="B54" s="36" t="s">
        <v>85</v>
      </c>
      <c r="C54" s="37">
        <f>12+403</f>
        <v>415</v>
      </c>
      <c r="D54" s="37"/>
      <c r="E54" s="35">
        <v>40.04</v>
      </c>
      <c r="F54" s="35">
        <v>36.18</v>
      </c>
      <c r="G54" s="38"/>
      <c r="H54" s="39">
        <f t="shared" si="16"/>
        <v>16616.599999999999</v>
      </c>
      <c r="I54" s="39">
        <f t="shared" si="17"/>
        <v>15014.7</v>
      </c>
      <c r="J54" s="39"/>
      <c r="K54" s="39">
        <f t="shared" si="14"/>
        <v>31631.3</v>
      </c>
      <c r="L54" s="40">
        <f t="shared" si="18"/>
        <v>34794.43</v>
      </c>
    </row>
    <row r="55" spans="1:12" x14ac:dyDescent="0.25">
      <c r="A55" s="69"/>
      <c r="B55" s="36" t="s">
        <v>64</v>
      </c>
      <c r="C55" s="37">
        <f>23+1</f>
        <v>24</v>
      </c>
      <c r="D55" s="37"/>
      <c r="E55" s="35">
        <v>40.04</v>
      </c>
      <c r="F55" s="35">
        <v>36.18</v>
      </c>
      <c r="G55" s="38"/>
      <c r="H55" s="39">
        <f t="shared" si="16"/>
        <v>960.96</v>
      </c>
      <c r="I55" s="39">
        <f t="shared" si="17"/>
        <v>868.31999999999994</v>
      </c>
      <c r="J55" s="39"/>
      <c r="K55" s="39">
        <f t="shared" si="14"/>
        <v>1829.28</v>
      </c>
      <c r="L55" s="40">
        <f t="shared" si="18"/>
        <v>2012.2080000000001</v>
      </c>
    </row>
    <row r="56" spans="1:12" ht="15.75" thickBot="1" x14ac:dyDescent="0.3">
      <c r="A56" s="70"/>
      <c r="B56" s="41" t="s">
        <v>86</v>
      </c>
      <c r="C56" s="42">
        <f>SUM(C45:C55)</f>
        <v>5843</v>
      </c>
      <c r="D56" s="42"/>
      <c r="E56" s="42"/>
      <c r="F56" s="42"/>
      <c r="G56" s="42"/>
      <c r="H56" s="42">
        <f>SUM(H45:H55)</f>
        <v>233953.72000000003</v>
      </c>
      <c r="I56" s="42">
        <f>SUM(I45:I55)</f>
        <v>211399.74</v>
      </c>
      <c r="J56" s="42">
        <f>SUM(J45:J55)</f>
        <v>0</v>
      </c>
      <c r="K56" s="42">
        <f>SUM(K45:K55)</f>
        <v>445353.45999999996</v>
      </c>
      <c r="L56" s="42">
        <f>SUM(L45:L55)</f>
        <v>494721.15400000004</v>
      </c>
    </row>
  </sheetData>
  <mergeCells count="3">
    <mergeCell ref="A6:A19"/>
    <mergeCell ref="A26:A38"/>
    <mergeCell ref="A45:A5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ZP</vt:lpstr>
      <vt:lpstr>EE</vt:lpstr>
      <vt:lpstr>VODA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KAPLANOVA</dc:creator>
  <cp:lastModifiedBy>Helena BELLINGOVA</cp:lastModifiedBy>
  <dcterms:created xsi:type="dcterms:W3CDTF">2020-10-20T18:23:49Z</dcterms:created>
  <dcterms:modified xsi:type="dcterms:W3CDTF">2023-05-02T08:10:09Z</dcterms:modified>
</cp:coreProperties>
</file>